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tzar\OTZAR\"/>
    </mc:Choice>
  </mc:AlternateContent>
  <xr:revisionPtr revIDLastSave="0" documentId="8_{58245443-7371-4382-B663-068DC09E1EB6}" xr6:coauthVersionLast="45" xr6:coauthVersionMax="45" xr10:uidLastSave="{00000000-0000-0000-0000-000000000000}"/>
  <bookViews>
    <workbookView xWindow="-120" yWindow="-120" windowWidth="29040" windowHeight="15840"/>
  </bookViews>
  <sheets>
    <sheet name="OTZARHLIST" sheetId="1" r:id="rId1"/>
  </sheets>
  <calcPr calcId="0"/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B1479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B1529" i="1"/>
  <c r="E1529" i="1"/>
  <c r="B1530" i="1"/>
  <c r="E1530" i="1"/>
  <c r="E1531" i="1"/>
  <c r="B1532" i="1"/>
  <c r="E1532" i="1"/>
  <c r="B1533" i="1"/>
  <c r="E1533" i="1"/>
  <c r="B1534" i="1"/>
  <c r="E1534" i="1"/>
  <c r="B1535" i="1"/>
  <c r="E1535" i="1"/>
  <c r="B1536" i="1"/>
  <c r="E1536" i="1"/>
  <c r="B1537" i="1"/>
  <c r="E1537" i="1"/>
  <c r="B1538" i="1"/>
  <c r="E1538" i="1"/>
  <c r="B1539" i="1"/>
  <c r="E1539" i="1"/>
  <c r="B1540" i="1"/>
  <c r="E1540" i="1"/>
  <c r="B1541" i="1"/>
  <c r="E1541" i="1"/>
  <c r="B1542" i="1"/>
  <c r="E1542" i="1"/>
  <c r="B1543" i="1"/>
  <c r="E1543" i="1"/>
  <c r="B1544" i="1"/>
  <c r="E1544" i="1"/>
  <c r="B1545" i="1"/>
  <c r="E1545" i="1"/>
  <c r="B1546" i="1"/>
  <c r="E1546" i="1"/>
  <c r="B1547" i="1"/>
  <c r="E1547" i="1"/>
  <c r="B1548" i="1"/>
  <c r="E1548" i="1"/>
  <c r="B1549" i="1"/>
  <c r="E1549" i="1"/>
  <c r="B1550" i="1"/>
  <c r="E1550" i="1"/>
  <c r="B1551" i="1"/>
  <c r="E1551" i="1"/>
  <c r="B1552" i="1"/>
  <c r="E1552" i="1"/>
  <c r="B1553" i="1"/>
  <c r="E1553" i="1"/>
  <c r="B1554" i="1"/>
  <c r="E1554" i="1"/>
  <c r="B1555" i="1"/>
  <c r="E1555" i="1"/>
  <c r="B1556" i="1"/>
  <c r="E1556" i="1"/>
  <c r="B1557" i="1"/>
  <c r="E1557" i="1"/>
  <c r="B1558" i="1"/>
  <c r="E1558" i="1"/>
  <c r="B1559" i="1"/>
  <c r="E1559" i="1"/>
  <c r="B1560" i="1"/>
  <c r="E1560" i="1"/>
  <c r="B1561" i="1"/>
  <c r="E1561" i="1"/>
  <c r="B1562" i="1"/>
  <c r="E1562" i="1"/>
  <c r="B1563" i="1"/>
  <c r="E1563" i="1"/>
  <c r="B1564" i="1"/>
  <c r="E1564" i="1"/>
  <c r="B1565" i="1"/>
  <c r="E1565" i="1"/>
  <c r="B1566" i="1"/>
  <c r="E1566" i="1"/>
  <c r="B1567" i="1"/>
  <c r="E1567" i="1"/>
  <c r="B1568" i="1"/>
  <c r="E1568" i="1"/>
  <c r="B1569" i="1"/>
  <c r="E1569" i="1"/>
  <c r="B1570" i="1"/>
  <c r="E1570" i="1"/>
  <c r="B1571" i="1"/>
  <c r="E1571" i="1"/>
  <c r="B1572" i="1"/>
  <c r="E1572" i="1"/>
  <c r="B1573" i="1"/>
  <c r="E1573" i="1"/>
  <c r="B1574" i="1"/>
  <c r="E1574" i="1"/>
  <c r="B1575" i="1"/>
  <c r="E1575" i="1"/>
  <c r="B1576" i="1"/>
  <c r="E1576" i="1"/>
  <c r="B1577" i="1"/>
  <c r="E1577" i="1"/>
  <c r="B1578" i="1"/>
  <c r="E1578" i="1"/>
  <c r="E1579" i="1"/>
  <c r="B1580" i="1"/>
  <c r="E1580" i="1"/>
  <c r="B1581" i="1"/>
  <c r="E1581" i="1"/>
  <c r="B1582" i="1"/>
  <c r="E1582" i="1"/>
  <c r="B1583" i="1"/>
  <c r="E1583" i="1"/>
  <c r="B1584" i="1"/>
  <c r="E1584" i="1"/>
  <c r="B1585" i="1"/>
  <c r="E1585" i="1"/>
  <c r="B1586" i="1"/>
  <c r="E1586" i="1"/>
  <c r="B1587" i="1"/>
  <c r="E1587" i="1"/>
  <c r="B1588" i="1"/>
  <c r="E1588" i="1"/>
  <c r="B1589" i="1"/>
  <c r="E1589" i="1"/>
  <c r="B1590" i="1"/>
  <c r="E1590" i="1"/>
  <c r="B1591" i="1"/>
  <c r="E1591" i="1"/>
  <c r="B1592" i="1"/>
  <c r="E1592" i="1"/>
  <c r="B1593" i="1"/>
  <c r="E1593" i="1"/>
  <c r="B1594" i="1"/>
  <c r="E1594" i="1"/>
  <c r="B1595" i="1"/>
  <c r="E1595" i="1"/>
  <c r="E1596" i="1"/>
  <c r="B1597" i="1"/>
  <c r="E1597" i="1"/>
  <c r="B1598" i="1"/>
  <c r="E1598" i="1"/>
  <c r="B1599" i="1"/>
  <c r="E1599" i="1"/>
  <c r="B1600" i="1"/>
  <c r="E1600" i="1"/>
  <c r="B1601" i="1"/>
  <c r="E1601" i="1"/>
  <c r="B1602" i="1"/>
  <c r="E1602" i="1"/>
  <c r="B1603" i="1"/>
  <c r="E1603" i="1"/>
  <c r="B1604" i="1"/>
  <c r="E1604" i="1"/>
  <c r="B1605" i="1"/>
  <c r="E1605" i="1"/>
  <c r="B1606" i="1"/>
  <c r="E1606" i="1"/>
  <c r="B1607" i="1"/>
  <c r="E1607" i="1"/>
  <c r="B1608" i="1"/>
  <c r="E1608" i="1"/>
  <c r="B1609" i="1"/>
  <c r="E1609" i="1"/>
  <c r="B1610" i="1"/>
  <c r="E1610" i="1"/>
  <c r="B1611" i="1"/>
  <c r="E1611" i="1"/>
  <c r="B1612" i="1"/>
  <c r="E1612" i="1"/>
  <c r="B1613" i="1"/>
  <c r="E1613" i="1"/>
  <c r="E1614" i="1"/>
  <c r="B1615" i="1"/>
  <c r="E1615" i="1"/>
  <c r="E1616" i="1"/>
  <c r="E1617" i="1"/>
  <c r="B1618" i="1"/>
  <c r="E1618" i="1"/>
  <c r="E1619" i="1"/>
  <c r="B1620" i="1"/>
  <c r="E1620" i="1"/>
  <c r="B1621" i="1"/>
  <c r="E1621" i="1"/>
  <c r="B1622" i="1"/>
  <c r="E1622" i="1"/>
  <c r="B1623" i="1"/>
  <c r="E1623" i="1"/>
  <c r="B1624" i="1"/>
  <c r="E1624" i="1"/>
  <c r="B1625" i="1"/>
  <c r="E1625" i="1"/>
  <c r="B1626" i="1"/>
  <c r="E1626" i="1"/>
  <c r="B1627" i="1"/>
  <c r="E1627" i="1"/>
  <c r="B1628" i="1"/>
  <c r="E1628" i="1"/>
  <c r="B1629" i="1"/>
  <c r="E1629" i="1"/>
  <c r="B1630" i="1"/>
  <c r="E1630" i="1"/>
  <c r="B1631" i="1"/>
  <c r="E1631" i="1"/>
  <c r="B1632" i="1"/>
  <c r="E1632" i="1"/>
  <c r="B1633" i="1"/>
  <c r="E1633" i="1"/>
  <c r="B1634" i="1"/>
  <c r="E1634" i="1"/>
  <c r="B1635" i="1"/>
  <c r="E1635" i="1"/>
  <c r="E1636" i="1"/>
  <c r="E1637" i="1"/>
  <c r="B1638" i="1"/>
  <c r="E1638" i="1"/>
  <c r="E1639" i="1"/>
  <c r="E1640" i="1"/>
  <c r="B1641" i="1"/>
  <c r="E1641" i="1"/>
  <c r="B1642" i="1"/>
  <c r="E1642" i="1"/>
  <c r="B1643" i="1"/>
  <c r="E1643" i="1"/>
  <c r="B1644" i="1"/>
  <c r="E1644" i="1"/>
  <c r="B1645" i="1"/>
  <c r="E1645" i="1"/>
  <c r="E1646" i="1"/>
  <c r="E1647" i="1"/>
  <c r="E1648" i="1"/>
  <c r="B1649" i="1"/>
  <c r="E1649" i="1"/>
  <c r="B1650" i="1"/>
  <c r="E1650" i="1"/>
  <c r="B1651" i="1"/>
  <c r="E1651" i="1"/>
  <c r="B1652" i="1"/>
  <c r="E1652" i="1"/>
  <c r="B1653" i="1"/>
  <c r="E1653" i="1"/>
  <c r="B1654" i="1"/>
  <c r="E1654" i="1"/>
  <c r="B1655" i="1"/>
  <c r="E1655" i="1"/>
  <c r="B1656" i="1"/>
  <c r="E1656" i="1"/>
  <c r="E1657" i="1"/>
  <c r="B1658" i="1"/>
  <c r="E1658" i="1"/>
  <c r="E1659" i="1"/>
  <c r="B1660" i="1"/>
  <c r="E1660" i="1"/>
  <c r="B1661" i="1"/>
  <c r="E1661" i="1"/>
  <c r="B1662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</calcChain>
</file>

<file path=xl/sharedStrings.xml><?xml version="1.0" encoding="utf-8"?>
<sst xmlns="http://schemas.openxmlformats.org/spreadsheetml/2006/main" count="9871" uniqueCount="3859">
  <si>
    <t>שם הספר</t>
  </si>
  <si>
    <t>מחבר</t>
  </si>
  <si>
    <t>שנת הדפסה</t>
  </si>
  <si>
    <t>מקום הדפסה</t>
  </si>
  <si>
    <t>קישור אקסל</t>
  </si>
  <si>
    <t>אבינו מלכנו - ראש השנה ב</t>
  </si>
  <si>
    <t>ועד חיילי בית דוד</t>
  </si>
  <si>
    <t>תשע"ט</t>
  </si>
  <si>
    <t>ניו יורק</t>
  </si>
  <si>
    <t>אביעה חידות</t>
  </si>
  <si>
    <t>סופר, יחזקאל</t>
  </si>
  <si>
    <t>תשע"א</t>
  </si>
  <si>
    <t>כפר חב"ד</t>
  </si>
  <si>
    <t>אבני חן - תולדות משפחת חן לדורותיה</t>
  </si>
  <si>
    <t>ליין, אליעזר - ברגר, שניאור זלמן</t>
  </si>
  <si>
    <t>תשע"ה</t>
  </si>
  <si>
    <t>אגודת חב"ד במדינות חבר העמים</t>
  </si>
  <si>
    <t>לוין, שלום דובער</t>
  </si>
  <si>
    <t>תש"ס</t>
  </si>
  <si>
    <t>חמ"ד</t>
  </si>
  <si>
    <t>אגלי נוחם</t>
  </si>
  <si>
    <t>זכרון</t>
  </si>
  <si>
    <t>תשנ"א</t>
  </si>
  <si>
    <t>אגרות בעל התניא ובני דורו</t>
  </si>
  <si>
    <t>שניאור זלמן בן ברוך מלאדי</t>
  </si>
  <si>
    <t>תשי"ג</t>
  </si>
  <si>
    <t>ירושלים Jerusalem</t>
  </si>
  <si>
    <t>אגרות חסיד</t>
  </si>
  <si>
    <t>צימר, אוריאל</t>
  </si>
  <si>
    <t>אגרות מלך - 2 כר'</t>
  </si>
  <si>
    <t>שניאורסון, מנחם מנדל בן לוי יצחק</t>
  </si>
  <si>
    <t>תשנ"ב</t>
  </si>
  <si>
    <t>אגרות נבחרות מתוך ספר אגרות קודש</t>
  </si>
  <si>
    <t>קונטרסי תשורה משמחות חסידות חב"ד</t>
  </si>
  <si>
    <t>תש"ע</t>
  </si>
  <si>
    <t>אגרות קדש - 2 כר'</t>
  </si>
  <si>
    <t>תשל"ב</t>
  </si>
  <si>
    <t>אגרות קודש &lt;טקסט&gt; - כרך יד</t>
  </si>
  <si>
    <t>שניאורסון, יוסף יצחק בן שלום דוב בר</t>
  </si>
  <si>
    <t>תשס"ז</t>
  </si>
  <si>
    <t>ירושלים</t>
  </si>
  <si>
    <t>אגרות קודש &lt;טקסט&gt; - 5 כר'</t>
  </si>
  <si>
    <t>אגרות קודש (אדמו"ר האמצעי)</t>
  </si>
  <si>
    <t>שניאורי, דוב בר בן שניאור זלמן</t>
  </si>
  <si>
    <t>תשע"ג</t>
  </si>
  <si>
    <t>אגרות קודש (אדמו"ר הזקן, האמצעי, והצ"צ) - 2 כר'</t>
  </si>
  <si>
    <t>אגרות קודש</t>
  </si>
  <si>
    <t>תשמ"ז</t>
  </si>
  <si>
    <t>אגרות קודש בנושא החינוך</t>
  </si>
  <si>
    <t>תשמ"ד</t>
  </si>
  <si>
    <t>אגרות קודש בענין בטחון בה'</t>
  </si>
  <si>
    <t>ליקוט ממכתבי כ"ק אדמו"ר</t>
  </si>
  <si>
    <t>תשס"ג</t>
  </si>
  <si>
    <t>אגרות קודש מאת כ"ק אדמו"ר הזקן</t>
  </si>
  <si>
    <t>תשע"ב</t>
  </si>
  <si>
    <t>אגרות קודש מתורגמות - 4 כר'</t>
  </si>
  <si>
    <t>אגרות קודש - קונטרס מילואים</t>
  </si>
  <si>
    <t>קונטרס מילואים לכל האגרות קודש</t>
  </si>
  <si>
    <t>תשמ"א</t>
  </si>
  <si>
    <t>אגרות קודש - 17 כר'</t>
  </si>
  <si>
    <t>תשמ"ב</t>
  </si>
  <si>
    <t>אגרות קודש - 33 כר'</t>
  </si>
  <si>
    <t>שניאורסון, מנחם מנדל בן שלום שכנא</t>
  </si>
  <si>
    <t>אגרות קודש - 6 כר'</t>
  </si>
  <si>
    <t>שניאורסון, שלום דוב בר בן שמואל</t>
  </si>
  <si>
    <t>תשמ"ו</t>
  </si>
  <si>
    <t>שניאורסון, שמואל בן מנחם מנדל</t>
  </si>
  <si>
    <t>תשס"ב</t>
  </si>
  <si>
    <t>אגרות רבינו משה בן מימון</t>
  </si>
  <si>
    <t>משה בן מימון (רמב"ם)</t>
  </si>
  <si>
    <t>תש"ל</t>
  </si>
  <si>
    <t>תל אביב</t>
  </si>
  <si>
    <t>אגרת הקדש עם ביאור המאור שבתורה - 2 כר'</t>
  </si>
  <si>
    <t>תשע"ד</t>
  </si>
  <si>
    <t>אגרת התשובה עם ביאור השווה לכל נפש</t>
  </si>
  <si>
    <t>כהן, יואל</t>
  </si>
  <si>
    <t>חש"ד</t>
  </si>
  <si>
    <t>אגרת התשובה עם ביאורי הרבי מליובאוויטש</t>
  </si>
  <si>
    <t>שניאור זלמן בן ברוך מלאדי - שניאורסון מנחם מנדל בן לוי יצחק</t>
  </si>
  <si>
    <t>אגרת התשובה עם פירוש ועיונים</t>
  </si>
  <si>
    <t>ירושלים Jeruasalem</t>
  </si>
  <si>
    <t>אגרת מבוארת - 3 כר'</t>
  </si>
  <si>
    <t>תשע"ו</t>
  </si>
  <si>
    <t>פתח תקווה</t>
  </si>
  <si>
    <t>אדמו"ר האמצעי</t>
  </si>
  <si>
    <t>סיפורים ופתגמים אודותיו</t>
  </si>
  <si>
    <t>תשס"ח</t>
  </si>
  <si>
    <t>אדמו"ר הצמח צדק ותנועת ההשכלה (הוצאה ה')</t>
  </si>
  <si>
    <t>תשל"ט</t>
  </si>
  <si>
    <t>אדמו"ר הצמח צדק ותנועת ההשכלה (הוצאה ו')</t>
  </si>
  <si>
    <t>אדמו"ר הצמח צדק ותנועת ההשכלה</t>
  </si>
  <si>
    <t>תש"ו</t>
  </si>
  <si>
    <t>ניו יורק New York</t>
  </si>
  <si>
    <t>אדמו"רי חב"ד ויהדות אוסטריה</t>
  </si>
  <si>
    <t>מרכז חב"ד ליובאווטש אוסטריה</t>
  </si>
  <si>
    <t>וינה</t>
  </si>
  <si>
    <t>אדמו"רי חב"ד ויהדות בוכרה</t>
  </si>
  <si>
    <t>וואלף, זושא</t>
  </si>
  <si>
    <t>תל אביב Tel Aviv</t>
  </si>
  <si>
    <t>אדמו"רי חב"ד ויהדות גרוזיה</t>
  </si>
  <si>
    <t>מכון הספר - תפארת רפאל</t>
  </si>
  <si>
    <t>לוד</t>
  </si>
  <si>
    <t>אדמו"רי חב"ד ויהדות גרמניה</t>
  </si>
  <si>
    <t>מכון היכל מנחם</t>
  </si>
  <si>
    <t>אדמו"רי חב"ד ויהדות קרים</t>
  </si>
  <si>
    <t>חש"מ</t>
  </si>
  <si>
    <t>אדמו"רי חב"ד ויהדות רומניה</t>
  </si>
  <si>
    <t>אהבת המלך</t>
  </si>
  <si>
    <t>קובץ</t>
  </si>
  <si>
    <t>קרית אונו</t>
  </si>
  <si>
    <t>אהבת ישראל - 16 כר'</t>
  </si>
  <si>
    <t>תשנ"ח</t>
  </si>
  <si>
    <t>קרית מוצקין</t>
  </si>
  <si>
    <t>אהלה של תורה - 2 כר'</t>
  </si>
  <si>
    <t>אהלה של תורה</t>
  </si>
  <si>
    <t>תשל"ו</t>
  </si>
  <si>
    <t>קרית גת</t>
  </si>
  <si>
    <t>אהלי ליובאוויטש - 4 כר'</t>
  </si>
  <si>
    <t>אהלי ליובאוויטש</t>
  </si>
  <si>
    <t>תשנ"ה</t>
  </si>
  <si>
    <t>אהלי שם - 9 כר'</t>
  </si>
  <si>
    <t>אהלי שם</t>
  </si>
  <si>
    <t>תשמ"ט</t>
  </si>
  <si>
    <t>אהלי תורה - 21 כר'</t>
  </si>
  <si>
    <t>אהלי תורה</t>
  </si>
  <si>
    <t>אהלי תורה - 3 כר'</t>
  </si>
  <si>
    <t>תש"מ</t>
  </si>
  <si>
    <t>אוהב עמו ישראל</t>
  </si>
  <si>
    <t>גינזבורג, יוסף</t>
  </si>
  <si>
    <t>תשנ"ו</t>
  </si>
  <si>
    <t>אונזער בוך - 2 כר'</t>
  </si>
  <si>
    <t>ליפשיץ, ישראל יצחק</t>
  </si>
  <si>
    <t>תש"ה</t>
  </si>
  <si>
    <t>אוסף תמונות מבית חב"ד</t>
  </si>
  <si>
    <t>אוסף תמונות</t>
  </si>
  <si>
    <t>אוסף תמונות של הרבי</t>
  </si>
  <si>
    <t>אוצר אגרות קודש</t>
  </si>
  <si>
    <t>אוצר החסידים</t>
  </si>
  <si>
    <t>סקירה אודות זכיות יוצרים של קה"ת</t>
  </si>
  <si>
    <t>אלעד</t>
  </si>
  <si>
    <t>אוצר התוועדויות - 2 כר'</t>
  </si>
  <si>
    <t>אוצר לקוטי שיחות - 2 כר'</t>
  </si>
  <si>
    <t>תשע"ח</t>
  </si>
  <si>
    <t>אוצר מאמרי חסידות</t>
  </si>
  <si>
    <t>אוצר מנהגי חב"ד - 2 כר'</t>
  </si>
  <si>
    <t>מונדשיין, יהושע בן מרדכי שמואל</t>
  </si>
  <si>
    <t>אוצר מנהגים והוראות - יו"ד</t>
  </si>
  <si>
    <t>ביסטריצקי, ישכר שלמה</t>
  </si>
  <si>
    <t>תשס"ו</t>
  </si>
  <si>
    <t>אוצר מרשימות הרבי הריי"ץ</t>
  </si>
  <si>
    <t>אוצר סיפורי חב"ד - 16 כר'</t>
  </si>
  <si>
    <t>גליצנשטיין, אברהם חנוך</t>
  </si>
  <si>
    <t>תשנ"ד</t>
  </si>
  <si>
    <t>אוצר סיפורי ליובאוויטש - א</t>
  </si>
  <si>
    <t>אוצר סיפורי ליובאוויטש</t>
  </si>
  <si>
    <t>תשמ"ח</t>
  </si>
  <si>
    <t>אוצר פתגמי חב"ד - 4 כר'</t>
  </si>
  <si>
    <t>פרידמן, אלתר אליהו הכהן</t>
  </si>
  <si>
    <t>אוצר רשימות</t>
  </si>
  <si>
    <t>אוצר שנים מקרא ואחד תרגום</t>
  </si>
  <si>
    <t>לאופר, שמואל בן יעקב יהושע</t>
  </si>
  <si>
    <t>תש"נ</t>
  </si>
  <si>
    <t>בני ברק Bene Berak</t>
  </si>
  <si>
    <t>אוצרות הבעל שם טוב - 2 כר'</t>
  </si>
  <si>
    <t>ריטרמן, זאב</t>
  </si>
  <si>
    <t>תשס"ה</t>
  </si>
  <si>
    <t>קרית מלאכי</t>
  </si>
  <si>
    <t>אוצרות ההגדה לתלמיד</t>
  </si>
  <si>
    <t>ממן, שלמה חנניה</t>
  </si>
  <si>
    <t>אוצרות ההגדה</t>
  </si>
  <si>
    <t>מלוקט ממשנתו של כ"ק אדמו"ר מליובאוויטש</t>
  </si>
  <si>
    <t>אוצרות המגילה - מגילת אסתר</t>
  </si>
  <si>
    <t>מכון אור החסידות</t>
  </si>
  <si>
    <t>אוצרות המועדים - 3 כר'</t>
  </si>
  <si>
    <t>אוצרות השעורים</t>
  </si>
  <si>
    <t>פיקארסקי, ישראל יצחק בן מרדכי מנחם</t>
  </si>
  <si>
    <t>תשכ"ב</t>
  </si>
  <si>
    <t>אוצרות חסידיים - 2 כר'</t>
  </si>
  <si>
    <t>אוצרות חסידיים</t>
  </si>
  <si>
    <t>אור אבנר</t>
  </si>
  <si>
    <t>קובץ חידושי תורה</t>
  </si>
  <si>
    <t>רמלה</t>
  </si>
  <si>
    <t>אור הבית - 2 כר'</t>
  </si>
  <si>
    <t>תשס"א</t>
  </si>
  <si>
    <t>אור הדרום - 2 כר'</t>
  </si>
  <si>
    <t>אוסטרליה</t>
  </si>
  <si>
    <t>אור החכמה</t>
  </si>
  <si>
    <t>שטרן, בצלאל בן אברהם</t>
  </si>
  <si>
    <t>אור החסידות</t>
  </si>
  <si>
    <t>גליצנשטין, אברהם חנוך</t>
  </si>
  <si>
    <t>אור המאיר הדף</t>
  </si>
  <si>
    <t>תשס"ט</t>
  </si>
  <si>
    <t>ניר עציון</t>
  </si>
  <si>
    <t>אור השולחן</t>
  </si>
  <si>
    <t>גדסי, שמעון</t>
  </si>
  <si>
    <t>אור השלחן</t>
  </si>
  <si>
    <t>אור התבור</t>
  </si>
  <si>
    <t>כפר תבור</t>
  </si>
  <si>
    <t>אור התורה &lt;טקסט&gt; - במדבר ג</t>
  </si>
  <si>
    <t>אור התורה - על סידור תפילה</t>
  </si>
  <si>
    <t>שניאורסון מנחם מנדל בן שלום שכנא</t>
  </si>
  <si>
    <t>תשמ"ה</t>
  </si>
  <si>
    <t>אור התורה - 42 כר'</t>
  </si>
  <si>
    <t>אור התפלה - 5 כר'</t>
  </si>
  <si>
    <t>לקט ביאורי תפילה</t>
  </si>
  <si>
    <t>אור וחום ההתקשרות - 4 כר'</t>
  </si>
  <si>
    <t>אור וחיות נפשנו</t>
  </si>
  <si>
    <t>ליקוטים</t>
  </si>
  <si>
    <t>ניו יורק New York -</t>
  </si>
  <si>
    <t>אור זרוע לצדיק - קובץ פלפולים</t>
  </si>
  <si>
    <t>אור חסידי בחושך הסובייטי</t>
  </si>
  <si>
    <t>ברוד, יחזקאל</t>
  </si>
  <si>
    <t>אור מנחם - 2 כר'</t>
  </si>
  <si>
    <t>תשנ"ז</t>
  </si>
  <si>
    <t>מונטוידאו</t>
  </si>
  <si>
    <t>אור עולם - 2 כר'</t>
  </si>
  <si>
    <t>אור פני מלך</t>
  </si>
  <si>
    <t>שטיינזלץ, עדין</t>
  </si>
  <si>
    <t>תקוע</t>
  </si>
  <si>
    <t>אור תורה השלם</t>
  </si>
  <si>
    <t>דוב בער בן אברהם ממזריץ'</t>
  </si>
  <si>
    <t>אורו של משיח</t>
  </si>
  <si>
    <t>ליקוט מאדמור"י חב"ד</t>
  </si>
  <si>
    <t>אורות דתהו בכלים דתקון</t>
  </si>
  <si>
    <t>גינזבורג, יצחק בן שמשון</t>
  </si>
  <si>
    <t>אורחות מנחם</t>
  </si>
  <si>
    <t>הבלין, יוסף יצחק</t>
  </si>
  <si>
    <t>אורי וישעי</t>
  </si>
  <si>
    <t>ישעיהו, נריה</t>
  </si>
  <si>
    <t>אורי ניסן</t>
  </si>
  <si>
    <t>ספר זכרון</t>
  </si>
  <si>
    <t>אנטווורפן</t>
  </si>
  <si>
    <t>אות בספר התורה</t>
  </si>
  <si>
    <t>אותיות איתן</t>
  </si>
  <si>
    <t>אזכיר על הציון</t>
  </si>
  <si>
    <t>ריטרמן, שניאור זלמן</t>
  </si>
  <si>
    <t>אחד היה אברהם</t>
  </si>
  <si>
    <t>וולף, אליהו (עריכה)</t>
  </si>
  <si>
    <t>אחד מי יודע</t>
  </si>
  <si>
    <t>דובאוו, ניסן דוד</t>
  </si>
  <si>
    <t>כפר חבד</t>
  </si>
  <si>
    <t>אחדות בתורה - ב</t>
  </si>
  <si>
    <t>שניאורסון, שניאור</t>
  </si>
  <si>
    <t>אחסידישע בר מצוה</t>
  </si>
  <si>
    <t>גופין, שניאור זלמן</t>
  </si>
  <si>
    <t>אחרי מלחמת יום הכפורים</t>
  </si>
  <si>
    <t>פלס, יעקב</t>
  </si>
  <si>
    <t>אחריך נרוצה - ג</t>
  </si>
  <si>
    <t>שוואב, רפאל</t>
  </si>
  <si>
    <t>צפת</t>
  </si>
  <si>
    <t>איבערלעבן</t>
  </si>
  <si>
    <t>איי המלך</t>
  </si>
  <si>
    <t>ספר יובל</t>
  </si>
  <si>
    <t>מרלבורן</t>
  </si>
  <si>
    <t>איך געדיינק אייך</t>
  </si>
  <si>
    <t>בוטמן, שלום דובער</t>
  </si>
  <si>
    <t>איך יראה העולם</t>
  </si>
  <si>
    <t>לייבוביץ, אדל</t>
  </si>
  <si>
    <t>איך למה מדוע</t>
  </si>
  <si>
    <t>גבירץ, אליעזר</t>
  </si>
  <si>
    <t>אילנא דחיי</t>
  </si>
  <si>
    <t>שמילה, אילן</t>
  </si>
  <si>
    <t>אילת המלך</t>
  </si>
  <si>
    <t>צעירי חב"ד סניף אילת</t>
  </si>
  <si>
    <t>אילת</t>
  </si>
  <si>
    <t>איש החינוך</t>
  </si>
  <si>
    <t>זילברשטרום, אהרן מרדכי (אודותיו)</t>
  </si>
  <si>
    <t>איש חסיד היה</t>
  </si>
  <si>
    <t>אל אשר תלכי</t>
  </si>
  <si>
    <t>סיפורים אישיים</t>
  </si>
  <si>
    <t>אל מול פני המנורה</t>
  </si>
  <si>
    <t>לפידות, ברוך שלום (מלקט)</t>
  </si>
  <si>
    <t>בואנוס איירס</t>
  </si>
  <si>
    <t>אל נשי ובנות ישראל</t>
  </si>
  <si>
    <t>אלבום אמריקה אינה שונה</t>
  </si>
  <si>
    <t>זאקליקובסקי, אליעזר יהושע (עורך)</t>
  </si>
  <si>
    <t>תשנ"ט</t>
  </si>
  <si>
    <t>אלבום היום יום</t>
  </si>
  <si>
    <t>אלבום חב"ד בארצנו הקדושה</t>
  </si>
  <si>
    <t>אלבום חב"ד בישראל</t>
  </si>
  <si>
    <t>אלבום</t>
  </si>
  <si>
    <t>אלבום לחגיגת סיום הרמב"ם</t>
  </si>
  <si>
    <t>אלבום צעירי אגודת חב"ד בארץ ישראל</t>
  </si>
  <si>
    <t>אלבום - And There Was Light</t>
  </si>
  <si>
    <t>אלה תולדות פרץ</t>
  </si>
  <si>
    <t>מוצקין, פרץ (אודותיו)</t>
  </si>
  <si>
    <t>אלה תולדות ר' אברהם</t>
  </si>
  <si>
    <t>זלמנוב, מנחם מנדל</t>
  </si>
  <si>
    <t>תש"פ</t>
  </si>
  <si>
    <t>מולדובה</t>
  </si>
  <si>
    <t>אלול וימים נוראים</t>
  </si>
  <si>
    <t>מלוב, י.</t>
  </si>
  <si>
    <t>אלול - תשרי</t>
  </si>
  <si>
    <t>הנדל, ט.</t>
  </si>
  <si>
    <t>אלוקים באו גויים בנחלתך</t>
  </si>
  <si>
    <t>בלוי, טוביה</t>
  </si>
  <si>
    <t>אליובאוויטשער תמים</t>
  </si>
  <si>
    <t>ברונפמן, מנחם מנדל</t>
  </si>
  <si>
    <t>אלף עובדות</t>
  </si>
  <si>
    <t>אם בישראל</t>
  </si>
  <si>
    <t>שניאורסון, חנה</t>
  </si>
  <si>
    <t>תשמ"ג</t>
  </si>
  <si>
    <t>אם המלכות</t>
  </si>
  <si>
    <t>בוקיעט, אברהם שמואל</t>
  </si>
  <si>
    <t>אמונה ומדע</t>
  </si>
  <si>
    <t>תשל"ג</t>
  </si>
  <si>
    <t>אמירת תהלים</t>
  </si>
  <si>
    <t>ריטרמן, זאב (עורך)</t>
  </si>
  <si>
    <t>אמרי בינה - 2 כר'</t>
  </si>
  <si>
    <t>אמרי נעם</t>
  </si>
  <si>
    <t>מאליסוב, הילל בן מאיר הלוי</t>
  </si>
  <si>
    <t>תרל"ו</t>
  </si>
  <si>
    <t>וילנה Vilna</t>
  </si>
  <si>
    <t>אמת ליעקב - י</t>
  </si>
  <si>
    <t>רבעון תורני</t>
  </si>
  <si>
    <t>רחובות</t>
  </si>
  <si>
    <t>אמת ליעקב - 2 כר'</t>
  </si>
  <si>
    <t>רבעון</t>
  </si>
  <si>
    <t>אני ה' רופאך</t>
  </si>
  <si>
    <t>שניאורסון, מנחם מנדל - כהן, יצחק (עורך)</t>
  </si>
  <si>
    <t>אני לדודי - תשע"ו</t>
  </si>
  <si>
    <t>אני מאמין</t>
  </si>
  <si>
    <t>כפלין, דודי - כהן, נדב</t>
  </si>
  <si>
    <t>ישראל</t>
  </si>
  <si>
    <t>שניאורסון, מנחם מנדל בן לוי יצחק - ריטרמן, זאב</t>
  </si>
  <si>
    <t>אנשים חסידים היו</t>
  </si>
  <si>
    <t>קמינצקי, יוסף יצחק</t>
  </si>
  <si>
    <t>תשס"ד</t>
  </si>
  <si>
    <t>אנשים של צורה</t>
  </si>
  <si>
    <t>כפר החורש</t>
  </si>
  <si>
    <t>אסא דבי הילולא</t>
  </si>
  <si>
    <t>שפירא, אהרן</t>
  </si>
  <si>
    <t>בני ברק</t>
  </si>
  <si>
    <t>אסדר לסעודתא - ג</t>
  </si>
  <si>
    <t>בלוי, שלום דובער (עורך)</t>
  </si>
  <si>
    <t>אסתלק יקרא</t>
  </si>
  <si>
    <t>זיגלבוים, מנחם</t>
  </si>
  <si>
    <t>אפיקי מים - ב</t>
  </si>
  <si>
    <t>יעבץ, עובדיה בן יעקב</t>
  </si>
  <si>
    <t>אפיקי מים</t>
  </si>
  <si>
    <t>קלמנסון, יחיאל מנחם מענדל בן יקותיאל דובער</t>
  </si>
  <si>
    <t>אפריון לרבי שמעון</t>
  </si>
  <si>
    <t>הבר, שמואל בן ישראל צבי הלוי</t>
  </si>
  <si>
    <t>אצל אבא</t>
  </si>
  <si>
    <t>חרמש, א.ב.</t>
  </si>
  <si>
    <t>אראנו נפלאות - 2 כר'</t>
  </si>
  <si>
    <t>אראנו נפלאות</t>
  </si>
  <si>
    <t>ארבעה חסידים</t>
  </si>
  <si>
    <t>ברגר, שניאור זלמן</t>
  </si>
  <si>
    <t>ארבעה שערים - 4 כר'</t>
  </si>
  <si>
    <t>תשע"ז</t>
  </si>
  <si>
    <t>ארבעת המינים - 2 כר'</t>
  </si>
  <si>
    <t>ויינר, משה בן אברהם זלמן</t>
  </si>
  <si>
    <t>ארוכה מארץ מידה</t>
  </si>
  <si>
    <t>ארכיון לוי יצחק</t>
  </si>
  <si>
    <t>קובץ מכתבים</t>
  </si>
  <si>
    <t>ארעא דרבנן דגליל</t>
  </si>
  <si>
    <t>ארעסט און באפרייאונג פון אלטן רבי'ן</t>
  </si>
  <si>
    <t>תש"כ</t>
  </si>
  <si>
    <t>אשכבתא דרבי</t>
  </si>
  <si>
    <t>ריבקין, משה דובער בן בן ציון</t>
  </si>
  <si>
    <t>אשכילה בדרך תמים - 5 כר'</t>
  </si>
  <si>
    <t>קובץ ישיבת וועסטשעסטער</t>
  </si>
  <si>
    <t>אשכילה בדרך תמים - 3 כר'</t>
  </si>
  <si>
    <t>אשנב ליהדות</t>
  </si>
  <si>
    <t>מ, שלמה (עורך)</t>
  </si>
  <si>
    <t>אשת חיל - הכנס הארצי ה-17 של נשי ובנות חב"ד</t>
  </si>
  <si>
    <t>אתה בחרתנו</t>
  </si>
  <si>
    <t>איגוד תלמידי הישיבות</t>
  </si>
  <si>
    <t>אתם שלום</t>
  </si>
  <si>
    <t>אלפנביין, ישראל</t>
  </si>
  <si>
    <t>אתפשטותא דמשה בכל דרא ודרא</t>
  </si>
  <si>
    <t>ווינסבאכער, א.</t>
  </si>
  <si>
    <t>אתפשטותא דמשה - 2 כר'</t>
  </si>
  <si>
    <t>העכט, יוסף יצחק יהושע (ליקט וערך)</t>
  </si>
  <si>
    <t>בית שמש</t>
  </si>
  <si>
    <t>אתפשטותא דמשה</t>
  </si>
  <si>
    <t>מכון לחקר כתבי הרמב"ם</t>
  </si>
  <si>
    <t>בא כח</t>
  </si>
  <si>
    <t>גאראדעצקי, בנימין אליהו</t>
  </si>
  <si>
    <t>פריס Paris</t>
  </si>
  <si>
    <t>באגרות מלך</t>
  </si>
  <si>
    <t>מגדל העמק</t>
  </si>
  <si>
    <t>באהלה של תורה -</t>
  </si>
  <si>
    <t>קובץ ביה"מ אהלי תורה</t>
  </si>
  <si>
    <t>באהלה של תורה - 2 כר'</t>
  </si>
  <si>
    <t>מישיגן</t>
  </si>
  <si>
    <t>באהלי חב"ד - א</t>
  </si>
  <si>
    <t>דויטש, שאול שמעון</t>
  </si>
  <si>
    <t>באהלי חנה - 2 כר'</t>
  </si>
  <si>
    <t>שבועון</t>
  </si>
  <si>
    <t>תש"מ - תשמ"ד</t>
  </si>
  <si>
    <t>באור החסידות - 5 כר'</t>
  </si>
  <si>
    <t>ירחון</t>
  </si>
  <si>
    <t>תשנ"ה - תשנ"ו</t>
  </si>
  <si>
    <t>באר החסידות (פירוש על דרך מצותיך) - 3 כר'</t>
  </si>
  <si>
    <t>הלוי, עומר</t>
  </si>
  <si>
    <t>באר החסידות משנת חב"ד - 2 כר'</t>
  </si>
  <si>
    <t>שטיינמן, אליעזר בן נתן</t>
  </si>
  <si>
    <t>תשי"א - תשכ"ב</t>
  </si>
  <si>
    <t>באתי לגני</t>
  </si>
  <si>
    <t>בד קודש - 2 כר'</t>
  </si>
  <si>
    <t>בדבר מלך - 3 כר'</t>
  </si>
  <si>
    <t>רייטפארט, יצחק בן חיים</t>
  </si>
  <si>
    <t>תשכ"ד</t>
  </si>
  <si>
    <t>בדרך אל החירות האמיתית</t>
  </si>
  <si>
    <t>חירותי, רפאל</t>
  </si>
  <si>
    <t>בדרך תמים - א</t>
  </si>
  <si>
    <t>מנצ'סטר Manchester</t>
  </si>
  <si>
    <t>בדרכי הבעל שם טוב</t>
  </si>
  <si>
    <t>בהיכל מלך</t>
  </si>
  <si>
    <t>בהשגחה פרטית</t>
  </si>
  <si>
    <t>שלוחים מספרים</t>
  </si>
  <si>
    <t>בונה ירושלם</t>
  </si>
  <si>
    <t>שניאור זלמן בן ברוך מלאדי. מיוחס לו</t>
  </si>
  <si>
    <t>תרפ"ו</t>
  </si>
  <si>
    <t>בוצינא דנהורא - 2 כר'</t>
  </si>
  <si>
    <t>אשכנזי, ברוך בן יחיאל מיכל ממזיבוז</t>
  </si>
  <si>
    <t>תש"י</t>
  </si>
  <si>
    <t>בזאת תבחנו - 3 כר'</t>
  </si>
  <si>
    <t>אייזנבך, צבי</t>
  </si>
  <si>
    <t>בחודש השביעי - 7 כר'</t>
  </si>
  <si>
    <t>קובץ לימוד</t>
  </si>
  <si>
    <t>בחירתו של הפיקח</t>
  </si>
  <si>
    <t>בחצרות המלך - א</t>
  </si>
  <si>
    <t>בחצרות קדשנו</t>
  </si>
  <si>
    <t>בטאון חב"ד - 12 כר'</t>
  </si>
  <si>
    <t>בטאון</t>
  </si>
  <si>
    <t>תשי"ב - תשט"ז</t>
  </si>
  <si>
    <t>ביאור הלכות שבת - 2 כר'</t>
  </si>
  <si>
    <t>ביאור לתניא</t>
  </si>
  <si>
    <t>פלאטקין, אברהם אליהו</t>
  </si>
  <si>
    <t>ביאור על התניא</t>
  </si>
  <si>
    <t>אסתרמן, שמואל גרונם</t>
  </si>
  <si>
    <t>ביאור פרשת גדולת החג י"ט כסלו</t>
  </si>
  <si>
    <t>זיסלין, ש.ד.</t>
  </si>
  <si>
    <t>תשכ"ג</t>
  </si>
  <si>
    <t>ביאור תניא - פרקים א-כו</t>
  </si>
  <si>
    <t>יעקב מקיידאן</t>
  </si>
  <si>
    <t>ביאורי הזהר - 2 כר'</t>
  </si>
  <si>
    <t>דוב בר בן שניאור זלמן מלאדי</t>
  </si>
  <si>
    <t>ביאורי החומש - 6 כר'</t>
  </si>
  <si>
    <t>ביאורי המקובל רבינו הירץ ש"ץ - דברים</t>
  </si>
  <si>
    <t>טריוויש, נפתלי הירץ בן אליעזר</t>
  </si>
  <si>
    <t>ביאורי הרב ניסן נמנוב על תניא</t>
  </si>
  <si>
    <t>שאנאויץ, שלום דובער</t>
  </si>
  <si>
    <t>ביאורי הרנ"ג על התניא</t>
  </si>
  <si>
    <t>גולדשמיד, נחום</t>
  </si>
  <si>
    <t>תשל"ז</t>
  </si>
  <si>
    <t>ביאורי כ"ק אדמו"ר שליט"א בליקוטי לוי יצחק</t>
  </si>
  <si>
    <t>ביאורי סוגיות</t>
  </si>
  <si>
    <t>ביאורי ר' שלמה חיים</t>
  </si>
  <si>
    <t>קסלמן, שלמה חיים</t>
  </si>
  <si>
    <t>ביאורים באגדות הש"ס</t>
  </si>
  <si>
    <t>יודייקין, שמואל יצחק גד הכהן</t>
  </si>
  <si>
    <t>ביאורים בהלכה - א (הלכות נדה)</t>
  </si>
  <si>
    <t>ביאורים במאמרי רבינו - 4 כר'</t>
  </si>
  <si>
    <t>ביאורים בספר התניא - 4 כר'</t>
  </si>
  <si>
    <t>יודייקין, יצחק גד הכהן (עורך)</t>
  </si>
  <si>
    <t>ביאורים בצוואת הריב"ש</t>
  </si>
  <si>
    <t>ביאורים בתורת רבינו - 2 כר'</t>
  </si>
  <si>
    <t>מכון ביאורים במאמרי רבינו</t>
  </si>
  <si>
    <t>ביאורים ובירורים במסכת שבת</t>
  </si>
  <si>
    <t>עפולה</t>
  </si>
  <si>
    <t>ביאורים והערות בקו"א לש"ע רבינו הזקן</t>
  </si>
  <si>
    <t>חברי כולל אברכים ליובאוויטש</t>
  </si>
  <si>
    <t>ביאורים לנוסח ברכת אירוסין ונישואין</t>
  </si>
  <si>
    <t>מיניסוטא</t>
  </si>
  <si>
    <t>ביאורים לפירוש רש"י על התורה - 7 כר'</t>
  </si>
  <si>
    <t>ביאורים לפרקי אבות - 2 כר'</t>
  </si>
  <si>
    <t>ביאורים על התניא</t>
  </si>
  <si>
    <t>גרונם, שמואל - קאדאנר, יעקב</t>
  </si>
  <si>
    <t>ביום שמחתכם ומועדיכם</t>
  </si>
  <si>
    <t>ועקנין, נפתלי</t>
  </si>
  <si>
    <t>ביכורי תורת אמת</t>
  </si>
  <si>
    <t>בימים ההם</t>
  </si>
  <si>
    <t>פלטין, עוזיאל</t>
  </si>
  <si>
    <t>תשנ"ג</t>
  </si>
  <si>
    <t>בין הדגים לזמירות - 3 כר'</t>
  </si>
  <si>
    <t>רודרמן, זלמן</t>
  </si>
  <si>
    <t>בין החומות - 2 כר'</t>
  </si>
  <si>
    <t>עלון דו שבועי</t>
  </si>
  <si>
    <t>תשל"ה</t>
  </si>
  <si>
    <t>בין הצלחת לטבעת</t>
  </si>
  <si>
    <t>ווגל, צפורה</t>
  </si>
  <si>
    <t>בין ירושלים לאילת</t>
  </si>
  <si>
    <t>זקלס, נחמי</t>
  </si>
  <si>
    <t>ביקור שיקאגא - 2 כר'</t>
  </si>
  <si>
    <t>תש"ד</t>
  </si>
  <si>
    <t>בירור שיטות הב"י הגר"א ובעל התניא בענין ברכות התורה</t>
  </si>
  <si>
    <t>רובין, ישראל בן משה</t>
  </si>
  <si>
    <t>בירורי מנהגים - 2 כר'</t>
  </si>
  <si>
    <t>פרידמן, שבתי יונה</t>
  </si>
  <si>
    <t>בית בישראל בנין עדי עד</t>
  </si>
  <si>
    <t>בית במזרח - עשור לפעילות חב"ד תאילנד</t>
  </si>
  <si>
    <t>בית הכנסת חב"ד ליובאוויטש - התולדות והמורשת</t>
  </si>
  <si>
    <t>וילהלם, מנחם מענדל</t>
  </si>
  <si>
    <t>בית חיינו 770</t>
  </si>
  <si>
    <t>בית חיינו - 5 כר'</t>
  </si>
  <si>
    <t>מכון מלכות שבתפארת</t>
  </si>
  <si>
    <t>תשמ"ט-תש"נ</t>
  </si>
  <si>
    <t>בית ישראל</t>
  </si>
  <si>
    <t>גוטמאן, ישראל בן אריה ליב</t>
  </si>
  <si>
    <t>תרס"ח</t>
  </si>
  <si>
    <t>יס Jassy</t>
  </si>
  <si>
    <t>סלאווין, ישראל נתן בן אברהם לוי'ק</t>
  </si>
  <si>
    <t>בית ישראל - בנין עדי עד</t>
  </si>
  <si>
    <t>בית מאושר</t>
  </si>
  <si>
    <t>בית מלך</t>
  </si>
  <si>
    <t>בית רבותינו נשיאנו ברוסטוב</t>
  </si>
  <si>
    <t>מדריך למבקר</t>
  </si>
  <si>
    <t>בית רבקה</t>
  </si>
  <si>
    <t>הרטמן, רפאל צבי (עורך)</t>
  </si>
  <si>
    <t>בכל מכל כל - 6 כר'</t>
  </si>
  <si>
    <t>ועד תלמידי התמימים</t>
  </si>
  <si>
    <t>בכסה ליום חגנו</t>
  </si>
  <si>
    <t>בלבת אש</t>
  </si>
  <si>
    <t>היכל מנחם</t>
  </si>
  <si>
    <t>במאי קמיפלגי</t>
  </si>
  <si>
    <t>במחנה צבאות השם - 4 כר'</t>
  </si>
  <si>
    <t>ירחון לילדים</t>
  </si>
  <si>
    <t>במענה למכתבה</t>
  </si>
  <si>
    <t>בן י"ג למצוות</t>
  </si>
  <si>
    <t>בן י"ג למצוות - 5 כר'</t>
  </si>
  <si>
    <t>בנאות דשא</t>
  </si>
  <si>
    <t>בנה ביתך</t>
  </si>
  <si>
    <t>בנין עדי עד</t>
  </si>
  <si>
    <t>קרסיק, יוסף</t>
  </si>
  <si>
    <t>בסוד שיח שרפי קודש</t>
  </si>
  <si>
    <t>בורו פארק</t>
  </si>
  <si>
    <t>בסוד שיח - 3 כר'</t>
  </si>
  <si>
    <t>לקט יחידויות פרטיות</t>
  </si>
  <si>
    <t>בעומקה של הלכה</t>
  </si>
  <si>
    <t>שמוקלער, יוסף יצחק בן שניאור זלמן</t>
  </si>
  <si>
    <t>ני ו יורק</t>
  </si>
  <si>
    <t>בעין הלב</t>
  </si>
  <si>
    <t>ברנובר, ירמיהו</t>
  </si>
  <si>
    <t>בעיניה של אשה</t>
  </si>
  <si>
    <t>גרייזמאן, נחמה</t>
  </si>
  <si>
    <t>בעל התניא</t>
  </si>
  <si>
    <t>וינגרטן, ר.</t>
  </si>
  <si>
    <t>בעל שם טוב - 2 כר'</t>
  </si>
  <si>
    <t>וודניק, שמעון מנחם בן י צ</t>
  </si>
  <si>
    <t>תרצ"ח</t>
  </si>
  <si>
    <t>לודז' Lodz</t>
  </si>
  <si>
    <t>ישראל בן אליעזר (בעש"ט)</t>
  </si>
  <si>
    <t>בענין החתך שעושים בתפילין לשים בו היוד</t>
  </si>
  <si>
    <t>כשר, מנחם מנדל</t>
  </si>
  <si>
    <t>בענין פדיון בכורות</t>
  </si>
  <si>
    <t>פתח תקוה</t>
  </si>
  <si>
    <t>בעקבות סיפורי חז"ל - א</t>
  </si>
  <si>
    <t>דאברושי, הנדל</t>
  </si>
  <si>
    <t>בפיך ובלבבך לעשותו</t>
  </si>
  <si>
    <t>מודיעין עילית</t>
  </si>
  <si>
    <t>בפן החינוכי</t>
  </si>
  <si>
    <t>מעון, אהד הכהן</t>
  </si>
  <si>
    <t>ביתר עילית</t>
  </si>
  <si>
    <t>בצרור החיים - 42 כר'</t>
  </si>
  <si>
    <t>פרידלנד, אברהם מנדל</t>
  </si>
  <si>
    <t>נחלת הר חב"ד</t>
  </si>
  <si>
    <t>בקשו פני</t>
  </si>
  <si>
    <t>ברוך אומר ועושה</t>
  </si>
  <si>
    <t>טייכמן, שרה</t>
  </si>
  <si>
    <t>בריש הורמנותא דמלכא</t>
  </si>
  <si>
    <t>מאליסוב, הלל בן מאיר הלוי מפאריטש</t>
  </si>
  <si>
    <t>ברית נתן</t>
  </si>
  <si>
    <t>גוראריה, אליהו יוחנן בן נתן</t>
  </si>
  <si>
    <t>ברכות הנהנין המבואר</t>
  </si>
  <si>
    <t>פרוס, חיים</t>
  </si>
  <si>
    <t>ברכות השחר על פי נוסח האריז"ל</t>
  </si>
  <si>
    <t>ברכות השחר</t>
  </si>
  <si>
    <t>באר שבע</t>
  </si>
  <si>
    <t>ברכות</t>
  </si>
  <si>
    <t>ברכת החמה ע"פ מנהג חב"ד (מהדורה חדשה)</t>
  </si>
  <si>
    <t>תפילות. ברכת החמה. תשס"ט</t>
  </si>
  <si>
    <t>ברכת החמה ע"פ מנהג חב"ד</t>
  </si>
  <si>
    <t>תפילות. ברכת החמה. תשמ"א</t>
  </si>
  <si>
    <t>ברכת המזון ע"פ ר' נתן שפירא אב"ד הוראדנא</t>
  </si>
  <si>
    <t>שפירא, נתן בן שמשון</t>
  </si>
  <si>
    <t>חולון</t>
  </si>
  <si>
    <t>ברכת המזון עם תרגום אנגלי</t>
  </si>
  <si>
    <t>ברשת החנוך - 1-6</t>
  </si>
  <si>
    <t>בטאון ארגון מורי חב"ד</t>
  </si>
  <si>
    <t>תשל"א - תשל"ג</t>
  </si>
  <si>
    <t>בשורת הגאולה</t>
  </si>
  <si>
    <t>בשמן קדשי משחתיו - ב</t>
  </si>
  <si>
    <t>בשעה שהקדימו תער"ב</t>
  </si>
  <si>
    <t>בשעה שהקדימו - 4 כר'</t>
  </si>
  <si>
    <t>בת י"ב למצוות</t>
  </si>
  <si>
    <t>בת מלך - בעקבות הרבניות</t>
  </si>
  <si>
    <t>ארגון בת מלך</t>
  </si>
  <si>
    <t>בתבונה בונה ביתה - 4 כר'</t>
  </si>
  <si>
    <t>טברדוביץ, ב.</t>
  </si>
  <si>
    <t>בתוך הגולה - קהילת רוסטוב</t>
  </si>
  <si>
    <t>קפלון, אלישיב הכהן</t>
  </si>
  <si>
    <t>גאולה בפרשה</t>
  </si>
  <si>
    <t>גאולה ומשיח באור ההלכה</t>
  </si>
  <si>
    <t>פיזם, יוסף א.</t>
  </si>
  <si>
    <t>גאון וחסיד</t>
  </si>
  <si>
    <t>פרידלנד, שלום דובער</t>
  </si>
  <si>
    <t>צרפת</t>
  </si>
  <si>
    <t>גבורה יהודית במלכות הרשע</t>
  </si>
  <si>
    <t>קרסיק, יצחק אייזיק</t>
  </si>
  <si>
    <t>בת חפר</t>
  </si>
  <si>
    <t>גבורות מנחם</t>
  </si>
  <si>
    <t>גדולי תורה על החזרת שטחים</t>
  </si>
  <si>
    <t>מדברי מועצת גדולי התורה שנת תרצ"ז</t>
  </si>
  <si>
    <t>גדרן של מצות</t>
  </si>
  <si>
    <t>גט למעשה</t>
  </si>
  <si>
    <t>פרלוב, חיים מרדכי בן דוד הכהן</t>
  </si>
  <si>
    <t>גידול זקן</t>
  </si>
  <si>
    <t>גינת ביתן המלך</t>
  </si>
  <si>
    <t>גינת המלך</t>
  </si>
  <si>
    <t>גל עיני</t>
  </si>
  <si>
    <t>תלמידי ישיבת ליובאוויטש בולטימור</t>
  </si>
  <si>
    <t>בולטימור</t>
  </si>
  <si>
    <t>גנזי נסתרות</t>
  </si>
  <si>
    <t>ביחובסקי, חיים אליעזר בן דוב הכהן</t>
  </si>
  <si>
    <t>תרפ"ד</t>
  </si>
  <si>
    <t>דבר בקדשו</t>
  </si>
  <si>
    <t>דבר מלך - 2 כר'</t>
  </si>
  <si>
    <t>דבר מלכות מבואר - א</t>
  </si>
  <si>
    <t>דבר מלכות מבואר</t>
  </si>
  <si>
    <t>דבר מלכות - 5 כר'</t>
  </si>
  <si>
    <t>דברי העדות שכתב אדמו"ר הזקן</t>
  </si>
  <si>
    <t>דברי העדות</t>
  </si>
  <si>
    <t>דברי ימי החוזרים</t>
  </si>
  <si>
    <t>שניאורסון יוסף יצחק בן שלום דוב בר</t>
  </si>
  <si>
    <t>דברי ימי הרבנית רבקה</t>
  </si>
  <si>
    <t>דברי שלום ואמת</t>
  </si>
  <si>
    <t>דברי שלום וברכה</t>
  </si>
  <si>
    <t>דברי שלום - סדרא תניינא א</t>
  </si>
  <si>
    <t>דברי שלום</t>
  </si>
  <si>
    <t>דברתי מלכי</t>
  </si>
  <si>
    <t>דו"ח דהכנס דתלמידים השלוחים</t>
  </si>
  <si>
    <t>דובר שלום - חיים של קידוש שם ליובאוויטש</t>
  </si>
  <si>
    <t>דובר שלום - הערות וביאורים בשו"ע אדמו"ר הזקן</t>
  </si>
  <si>
    <t>דוד עבדי</t>
  </si>
  <si>
    <t>דודי ירד לגנו</t>
  </si>
  <si>
    <t>דור דעה - ת"ק תר"כ</t>
  </si>
  <si>
    <t>קאמלהאר, יקותיאל אריה בן גרשון</t>
  </si>
  <si>
    <t>דור המבול</t>
  </si>
  <si>
    <t>ששונקין, נחום שמריה</t>
  </si>
  <si>
    <t>דור הפלגה ודורו של משיח</t>
  </si>
  <si>
    <t>דורות של חסידים</t>
  </si>
  <si>
    <t>רבינוביץ, שניאור זלמן בן שמואל בן-ציון</t>
  </si>
  <si>
    <t>דורש טוב לכל עמו - 2 כר'</t>
  </si>
  <si>
    <t>תגר, אליהו</t>
  </si>
  <si>
    <t>די אידישע היים - 5 כר'</t>
  </si>
  <si>
    <t>ירחון לנשי ובנות חב"ד</t>
  </si>
  <si>
    <t>תשי"ט - תשכ"ב</t>
  </si>
  <si>
    <t>די אידישע פרוי - 1</t>
  </si>
  <si>
    <t>ארגון בנות חב"ד</t>
  </si>
  <si>
    <t>תשט"ז</t>
  </si>
  <si>
    <t>טורונטו</t>
  </si>
  <si>
    <t>די יסורים פון ליבאוויטשן רבין</t>
  </si>
  <si>
    <t>תר"צ</t>
  </si>
  <si>
    <t>ריגה</t>
  </si>
  <si>
    <t>די מאראלישע און דערציערישע באדייטונג פון חסידות חב"ד</t>
  </si>
  <si>
    <t>די תורה ליכט - 5</t>
  </si>
  <si>
    <t>די תורה ליכט</t>
  </si>
  <si>
    <t>דידן נצח - שלשים שנה</t>
  </si>
  <si>
    <t>איגוד האברכים</t>
  </si>
  <si>
    <t>דידן נצח - תשע"ה</t>
  </si>
  <si>
    <t>ועד תלמידי התמימים העולמי</t>
  </si>
  <si>
    <t>דידן נצח - 4 כר'</t>
  </si>
  <si>
    <t>לובצקי, שמואל</t>
  </si>
  <si>
    <t>דידן נצח - פסק הדין במשפט הספרים</t>
  </si>
  <si>
    <t>פרשת הספרים</t>
  </si>
  <si>
    <t>דיוקנו של חסיד</t>
  </si>
  <si>
    <t>גאנזבורג, צבי הירש</t>
  </si>
  <si>
    <t>דין וחשבון על הכינוס השנתי תשי"ט של צאגו"ח</t>
  </si>
  <si>
    <t>דו"ח שנתי</t>
  </si>
  <si>
    <t>תשי"ט</t>
  </si>
  <si>
    <t>דיני הפסק בתפלה</t>
  </si>
  <si>
    <t>איידלמן, יוסף יצחק</t>
  </si>
  <si>
    <t>דיעדושקא - הרבי מליובאוויטש ויהדות רוסיה</t>
  </si>
  <si>
    <t>וולף, זושא</t>
  </si>
  <si>
    <t>דליים של שמחה - שמחת תורה</t>
  </si>
  <si>
    <t>דמויות תנ"כיות - 2 כר'</t>
  </si>
  <si>
    <t>הרשקוביץ, מ"מ</t>
  </si>
  <si>
    <t>דמות חסידית</t>
  </si>
  <si>
    <t>ליפקין, יהושע</t>
  </si>
  <si>
    <t>דעם רבי'נס טאג</t>
  </si>
  <si>
    <t>דעם רבינ'ס קאך</t>
  </si>
  <si>
    <t>דעם רבינ'ס קינדער</t>
  </si>
  <si>
    <t>דער ליובאוויטשער רבי - 2 כר'</t>
  </si>
  <si>
    <t>ביוגרפיה</t>
  </si>
  <si>
    <t>דער רב</t>
  </si>
  <si>
    <t>חדקוב, עטל צערנא</t>
  </si>
  <si>
    <t>דער רבי רעדט צו קינדער - 3 כר'</t>
  </si>
  <si>
    <t>דער שבת</t>
  </si>
  <si>
    <t>דער שמע ישראל וואס אדמו"ר רשכבה"ג הצמח צדק</t>
  </si>
  <si>
    <t>תרצ"ט</t>
  </si>
  <si>
    <t>דערצייל מיר א מעשה - 2 כר'</t>
  </si>
  <si>
    <t>מינדעל, ניסן</t>
  </si>
  <si>
    <t>דעת מאיר</t>
  </si>
  <si>
    <t>בורובסקי, מאיר</t>
  </si>
  <si>
    <t>דעת תורה בעניני המצב בארץ הקדש</t>
  </si>
  <si>
    <t>וולפא, שלום דב</t>
  </si>
  <si>
    <t>דעת תורה ע"ד המצב באה"ק ת"ו</t>
  </si>
  <si>
    <t>דעת תורה</t>
  </si>
  <si>
    <t>פרידמן, חיים יצחק</t>
  </si>
  <si>
    <t>דעתן עלך</t>
  </si>
  <si>
    <t>אליטוב, אליהו מאיר</t>
  </si>
  <si>
    <t>דרוש לחתונה עם ביאורי ר' הלל מפאריטש</t>
  </si>
  <si>
    <t>דרושי חתונה</t>
  </si>
  <si>
    <t>תרפ"ט</t>
  </si>
  <si>
    <t>ריגה Riga</t>
  </si>
  <si>
    <t>דרושי חתונה - 2 כר'</t>
  </si>
  <si>
    <t>דרך אמונה</t>
  </si>
  <si>
    <t>אבן גבאי, מאיר בן יחזקאל</t>
  </si>
  <si>
    <t>תשט"ו</t>
  </si>
  <si>
    <t>דרך המלך</t>
  </si>
  <si>
    <t>תיעוד</t>
  </si>
  <si>
    <t>דרך חיים ותוכחת מוסר השכל - 2 כר'</t>
  </si>
  <si>
    <t>תקע"ט ותקנ"ט הוא ט"ס</t>
  </si>
  <si>
    <t>קופיסט Kopys</t>
  </si>
  <si>
    <t>דרך חיים</t>
  </si>
  <si>
    <t>דרך מצותיך &lt;טקסט&gt;</t>
  </si>
  <si>
    <t>דרך מצותיך המבואר - 2 כר'</t>
  </si>
  <si>
    <t>דרך מצותיך - 3 כר'</t>
  </si>
  <si>
    <t>דרך תמים - 3 כר'</t>
  </si>
  <si>
    <t>דרך תמים</t>
  </si>
  <si>
    <t>דרכי החיים</t>
  </si>
  <si>
    <t>דרכי החסידות - 2 כר'</t>
  </si>
  <si>
    <t>דרכי החסידות - על סדר פרשיות התורה</t>
  </si>
  <si>
    <t>מלוקט מכתבי כ"ק אדמו"ר מוהריי"ץ</t>
  </si>
  <si>
    <t>דרש טוב</t>
  </si>
  <si>
    <t>מנלה, שמעון זאב בן דוד עזריאל זליג</t>
  </si>
  <si>
    <t>תרפ"ח</t>
  </si>
  <si>
    <t>בילגורי  ilgoraj</t>
  </si>
  <si>
    <t>דרשה לכל דורש - 3 כר'</t>
  </si>
  <si>
    <t>הבר, חיים א. הלוי</t>
  </si>
  <si>
    <t>האדם והבריאה</t>
  </si>
  <si>
    <t>בליזינסקי, מאיר</t>
  </si>
  <si>
    <t>תשל"א</t>
  </si>
  <si>
    <t>האדמו"ר מליובאוויטש - ליובלו השבעים</t>
  </si>
  <si>
    <t>האח - כל הגליונות</t>
  </si>
  <si>
    <t>עיתון הילדים הראשון</t>
  </si>
  <si>
    <t>תרע"א-תרע"ד</t>
  </si>
  <si>
    <t>ליובאוויטש</t>
  </si>
  <si>
    <t>האיש של הרבי בערד</t>
  </si>
  <si>
    <t>ערד</t>
  </si>
  <si>
    <t>האמונה והפצתה</t>
  </si>
  <si>
    <t>קובץ מאמרים</t>
  </si>
  <si>
    <t>הבית החב"די</t>
  </si>
  <si>
    <t>פרמן, ג.</t>
  </si>
  <si>
    <t>הבית החסידי במשנתו של הרבי - 3 כר'</t>
  </si>
  <si>
    <t>כהן, יצחק</t>
  </si>
  <si>
    <t>הבית השני - חוברת לימוד</t>
  </si>
  <si>
    <t>בית חב"ד באר שבע</t>
  </si>
  <si>
    <t>הבעל שם טוב - 300 שנה להולדתו</t>
  </si>
  <si>
    <t>קטלוג התערוכה</t>
  </si>
  <si>
    <t>הבעל שם טוב</t>
  </si>
  <si>
    <t>הגאון מלובלין</t>
  </si>
  <si>
    <t>חננאל, א. י.</t>
  </si>
  <si>
    <t>הגדה למעשה - הגדה ש"פ עם מנהגי חב"ד</t>
  </si>
  <si>
    <t>הגדה של פסח עם מנהגי חב"ד</t>
  </si>
  <si>
    <t>הגדה לעם</t>
  </si>
  <si>
    <t>לנדא, ישראל</t>
  </si>
  <si>
    <t>הגדה של פסח &lt;נוסח חוקת הפסח של העדה הבוכרית&gt;</t>
  </si>
  <si>
    <t>הגדה של פסח. תשס"ז.</t>
  </si>
  <si>
    <t>רמת גן</t>
  </si>
  <si>
    <t>הגדה של פסח &lt;עם ליקוטי טעמים ומנהגים&gt;</t>
  </si>
  <si>
    <t>הגדה של פסח בתרגום צרפתית - 2 כר'</t>
  </si>
  <si>
    <t>הגדה של פסח בתרגום צרפתית</t>
  </si>
  <si>
    <t>הגדה של פסח בתרגום רוסית - 2 כר'</t>
  </si>
  <si>
    <t>הגדה של פסח בתרגום רוסית</t>
  </si>
  <si>
    <t>הגדה של פסח ע"פ בריש גלי</t>
  </si>
  <si>
    <t>ירוחם בן שבתי הכהן</t>
  </si>
  <si>
    <t>תרע"א</t>
  </si>
  <si>
    <t>אודסה Odessa</t>
  </si>
  <si>
    <t>הגדה של פסח עם ביאור דברי שלום</t>
  </si>
  <si>
    <t>שניאורסון, מנחם מנדל בן לוי יצחק - לוין, שלום דובער</t>
  </si>
  <si>
    <t>ברוקלין</t>
  </si>
  <si>
    <t>הגדה של פסח עם ליקוטי טעמים ומנהגים - 6 כר'</t>
  </si>
  <si>
    <t>הגדה של פסח עם תרגום אנגלית</t>
  </si>
  <si>
    <t>מרכוס, יוסף</t>
  </si>
  <si>
    <t>הגדה של פסח - עם תרגום אנגלי</t>
  </si>
  <si>
    <t>הגדה של פסח</t>
  </si>
  <si>
    <t>הגדה של פסח - ההגדה לעורך הסדר</t>
  </si>
  <si>
    <t>חב"ד אודסה</t>
  </si>
  <si>
    <t>אודסה</t>
  </si>
  <si>
    <t>הגדת ארבעת הבנים</t>
  </si>
  <si>
    <t>פרונפמן, מנחם מענדל</t>
  </si>
  <si>
    <t>הגדת מלך</t>
  </si>
  <si>
    <t>ישיבה קטנה תות"ל חב"ד נתניה</t>
  </si>
  <si>
    <t>נתניה</t>
  </si>
  <si>
    <t>הגהות לד"ה פתח אליהו - 2 כר'</t>
  </si>
  <si>
    <t>הגהות לסידור רבנו הזקן</t>
  </si>
  <si>
    <t>הגהות על מאמר באתי לגני תשל"ז</t>
  </si>
  <si>
    <t>תלמידי ביהמ"ד אהלי תורה</t>
  </si>
  <si>
    <t>הגיע זמן גאולתכם</t>
  </si>
  <si>
    <t>הדוד בנימין</t>
  </si>
  <si>
    <t>וולף, אליהו</t>
  </si>
  <si>
    <t>חשד</t>
  </si>
  <si>
    <t>חמד</t>
  </si>
  <si>
    <t>הדפסת ספר התניא</t>
  </si>
  <si>
    <t>קפלון, נחמיה הכהן</t>
  </si>
  <si>
    <t>הדר הכרמל</t>
  </si>
  <si>
    <t>חיפה</t>
  </si>
  <si>
    <t>הדרך הישרה - א</t>
  </si>
  <si>
    <t>הדרך להשמחה והאמת</t>
  </si>
  <si>
    <t>ישעיהו מיכל</t>
  </si>
  <si>
    <t>תשי"ח</t>
  </si>
  <si>
    <t>הדרך לחיים של משמעות</t>
  </si>
  <si>
    <t>יעקבסון, סימון (ערך ועיבד)</t>
  </si>
  <si>
    <t>הדרן על הש"ס</t>
  </si>
  <si>
    <t>הדרן על ששה סדרי משנה</t>
  </si>
  <si>
    <t>הדרן - 2 כר'</t>
  </si>
  <si>
    <t>הדרנים על הרמב"ם</t>
  </si>
  <si>
    <t>הדרנים על ששה סדרי משנה</t>
  </si>
  <si>
    <t>קלר, יוסף יצחק</t>
  </si>
  <si>
    <t>הדרת מלך - גיטין</t>
  </si>
  <si>
    <t>קובץ (לונדון)</t>
  </si>
  <si>
    <t>לונדון</t>
  </si>
  <si>
    <t>הדרת מלך - 5 כר'</t>
  </si>
  <si>
    <t>קובץ (ניו יורק)</t>
  </si>
  <si>
    <t>הדרת מלך</t>
  </si>
  <si>
    <t>קובץ (עמנואל)</t>
  </si>
  <si>
    <t>עמנואל</t>
  </si>
  <si>
    <t>ההגדה לעורך הסדר</t>
  </si>
  <si>
    <t>וולף, אברהם</t>
  </si>
  <si>
    <t>ההתקשרות האמיתית</t>
  </si>
  <si>
    <t>הוגה בתורה</t>
  </si>
  <si>
    <t>בוקובזה, אליהו</t>
  </si>
  <si>
    <t>הוה גביר</t>
  </si>
  <si>
    <t>הוויכוח במינסק (בתרגום אנגלית)</t>
  </si>
  <si>
    <t>הוויכוח במינסק</t>
  </si>
  <si>
    <t>הולך בדרך תמים</t>
  </si>
  <si>
    <t>הוצאת ספרים קה"ת - תולדותיה</t>
  </si>
  <si>
    <t>הוצאת ספרים קה"ת</t>
  </si>
  <si>
    <t>הוראת המספרים</t>
  </si>
  <si>
    <t>הורנו מדרכיו - 2 כר'</t>
  </si>
  <si>
    <t>ארגון צבאות ה' כפר חב"ד</t>
  </si>
  <si>
    <t>הורנו מדרכיו - 3 כר'</t>
  </si>
  <si>
    <t>הזולת הוא הראי</t>
  </si>
  <si>
    <t>החגיגה העולמית לסיום ספר משנה תורה - 5 כר'</t>
  </si>
  <si>
    <t>החוק הכפול והנגדי</t>
  </si>
  <si>
    <t>פרגון, בנימין</t>
  </si>
  <si>
    <t>החיים השמחים</t>
  </si>
  <si>
    <t>צעירי אגודת חב"ד</t>
  </si>
  <si>
    <t>החינוך במשנתו של הרבי</t>
  </si>
  <si>
    <t>כהן, יצחק (עורך)</t>
  </si>
  <si>
    <t>החינוך היהודי סוד ויסוד קיומנו</t>
  </si>
  <si>
    <t>מבחר הרצאות מכנס נשי ובנות חב"ד</t>
  </si>
  <si>
    <t>החינוך והמחנך</t>
  </si>
  <si>
    <t>חדקוב, חיים מרדכי אייזיק</t>
  </si>
  <si>
    <t>החינוך על טהרת הקודש</t>
  </si>
  <si>
    <t>החן החסידי</t>
  </si>
  <si>
    <t>ביה"ס היסודי בית רבקה כפר חב"ד</t>
  </si>
  <si>
    <t>הטרקטוריסט של הרבי - 2 כר'</t>
  </si>
  <si>
    <t>דונין, ראובן</t>
  </si>
  <si>
    <t>היא שיחתי - 2 כר'</t>
  </si>
  <si>
    <t>הנדלר, מעיין בת יהושע נריה</t>
  </si>
  <si>
    <t>היום הרת עולם - ראש השנה ג</t>
  </si>
  <si>
    <t>ני יורק</t>
  </si>
  <si>
    <t>היום יום &lt;טקסט&gt;</t>
  </si>
  <si>
    <t>היום יום (בעברית)</t>
  </si>
  <si>
    <t>היום יום (מנוקד ומתורגם ללשה"ק)</t>
  </si>
  <si>
    <t>היום יום (מנוקד)</t>
  </si>
  <si>
    <t>היום יום (משולב מקור ותרגום)</t>
  </si>
  <si>
    <t>היום יום (עם תרגום אנגלי)</t>
  </si>
  <si>
    <t>היום יום המבואר</t>
  </si>
  <si>
    <t>היום יום - 4 כר'</t>
  </si>
  <si>
    <t>היונה והאריה</t>
  </si>
  <si>
    <t>היכל המלך</t>
  </si>
  <si>
    <t>היכל הנגינה</t>
  </si>
  <si>
    <t>היכל מנחם - 3 כר'</t>
  </si>
  <si>
    <t>הילולא דרבי</t>
  </si>
  <si>
    <t>היסודות הרוחניים של כפר חב"ד ונחלת הר חב"ד</t>
  </si>
  <si>
    <t>הישיבה בית היוצר</t>
  </si>
  <si>
    <t>הכוח הנשי - 2 כר'</t>
  </si>
  <si>
    <t>ברוד, פרדי</t>
  </si>
  <si>
    <t>הכל בהשגחה פרטית</t>
  </si>
  <si>
    <t>הכל בכתב עלי השכיל</t>
  </si>
  <si>
    <t>מוסקבה</t>
  </si>
  <si>
    <t>הכנה רבה</t>
  </si>
  <si>
    <t>הכנות לברית</t>
  </si>
  <si>
    <t>הכפר של הרבי</t>
  </si>
  <si>
    <t>ועד כפר חב"ד</t>
  </si>
  <si>
    <t>הלב של צפת</t>
  </si>
  <si>
    <t>מרינובסקי, משה - הלפרין, יוסי</t>
  </si>
  <si>
    <t>הלולא דצדקיא</t>
  </si>
  <si>
    <t>מרגליות, ראובן בן משה</t>
  </si>
  <si>
    <t>Lvov לבוב</t>
  </si>
  <si>
    <t>הלולא רבא &lt;מהדורה חדשה&gt;</t>
  </si>
  <si>
    <t>תיקונים. ל"ג בעומר. תשע"ז. ירושלים</t>
  </si>
  <si>
    <t>הלכה ברורה</t>
  </si>
  <si>
    <t>רומפלער, ישכר דוב</t>
  </si>
  <si>
    <t>הלכה יומית</t>
  </si>
  <si>
    <t>הלכה למעשה - א</t>
  </si>
  <si>
    <t>לינק, משה</t>
  </si>
  <si>
    <t>הלכה למעשה - 3 כר'</t>
  </si>
  <si>
    <t>מכון הלכה חב"ד</t>
  </si>
  <si>
    <t>הלכות אמירה לנכרי</t>
  </si>
  <si>
    <t>הלכות בית הבחירה להרמב"ם עם חידושים וביאורים</t>
  </si>
  <si>
    <t>הלכות בית הבחירה להרמב"ם עם פירוש עץ יוסף</t>
  </si>
  <si>
    <t>קעלער, יוסף יצחק</t>
  </si>
  <si>
    <t>הלכות והליכות ההנהגה בחיי היום יום</t>
  </si>
  <si>
    <t>הלכות והליכות</t>
  </si>
  <si>
    <t>הלכות ומנהגי חב"ד</t>
  </si>
  <si>
    <t>גינזבורג, יוסף שמחה</t>
  </si>
  <si>
    <t>הלכות חג השבועות משו"ע אדמוה"ז</t>
  </si>
  <si>
    <t>הלכות חנוכה עם טעמים ועיונים</t>
  </si>
  <si>
    <t>אשכנזי, מאיר בן מרדכי שמואל</t>
  </si>
  <si>
    <t>הלכות ליל הסדר - 2 כר'</t>
  </si>
  <si>
    <t>אשכנזי, חיים אליעזר</t>
  </si>
  <si>
    <t>הלכות לשון הרע מתוך שלחן ערוך הרב</t>
  </si>
  <si>
    <t>ניישטאדט, יחיאל יהודה</t>
  </si>
  <si>
    <t>הלכות ספירת העומר מש"ע אדמוה"ז</t>
  </si>
  <si>
    <t>הלכות פסח מש"ע אדמוה"ז</t>
  </si>
  <si>
    <t>הלכות קריאת התורה</t>
  </si>
  <si>
    <t>אמינוב, אברהם</t>
  </si>
  <si>
    <t>הלכות שחיטה משו"ע אדמו"ר הזקן עם ביאורי הלכות</t>
  </si>
  <si>
    <t>ווינער, ברוך אלכסנדר זושא</t>
  </si>
  <si>
    <t>הלכות תלמוד תורה משו"ע אדמו"ר הזקן - 6 כר'</t>
  </si>
  <si>
    <t>אשכנזי, מרדכי שמואל בן משה</t>
  </si>
  <si>
    <t>הלכות תשובה להרמב"ם עם חידושים וביאורים</t>
  </si>
  <si>
    <t>הלכתא כרב</t>
  </si>
  <si>
    <t>טברדוביץ, דב</t>
  </si>
  <si>
    <t>לקט מגדולי ישראל</t>
  </si>
  <si>
    <t>הלכתא למשיחא</t>
  </si>
  <si>
    <t>הלר, יוסף אברהם הלוי</t>
  </si>
  <si>
    <t>הלקח והלבוב &lt;מהדורה חדשה&gt; - 2 כר'</t>
  </si>
  <si>
    <t>יודאסין, אלכסנדר סענדר</t>
  </si>
  <si>
    <t>הלקח והלבוב - 2 כר'</t>
  </si>
  <si>
    <t>תשכ"ח</t>
  </si>
  <si>
    <t>המאבק והנצחון</t>
  </si>
  <si>
    <t>חזן, אהרן</t>
  </si>
  <si>
    <t>המאור שבתורה - 5 כר'</t>
  </si>
  <si>
    <t>המאיר - א</t>
  </si>
  <si>
    <t>המאירים לארץ</t>
  </si>
  <si>
    <t>אלפסי, יצחק</t>
  </si>
  <si>
    <t>המאסר והגאולה</t>
  </si>
  <si>
    <t>המבוא לספרי הרמב"ם</t>
  </si>
  <si>
    <t>מוסקוביץ, דוד משה</t>
  </si>
  <si>
    <t>המבצעים כהלכתם - א</t>
  </si>
  <si>
    <t>ביסטרצקי, שמואל</t>
  </si>
  <si>
    <t>המדריך לעבודת ה' - תניא הקצר</t>
  </si>
  <si>
    <t>המהפכה הצרפתית בתשרי אצל הרבי</t>
  </si>
  <si>
    <t>המהפכה</t>
  </si>
  <si>
    <t>המועדים בחסידות</t>
  </si>
  <si>
    <t>המחנך והחינוך</t>
  </si>
  <si>
    <t>המחשבה בהלכה</t>
  </si>
  <si>
    <t>המלך במסיבו - 2 כר'</t>
  </si>
  <si>
    <t>המלך ברמה</t>
  </si>
  <si>
    <t>המסע האחרון</t>
  </si>
  <si>
    <t>המסע להאדיטש</t>
  </si>
  <si>
    <t>המעיינות - אדמו"ר הזקן</t>
  </si>
  <si>
    <t>המעיינות - אדמו"ר האמצעי</t>
  </si>
  <si>
    <t>המעיינות - אדמו"ר הרש"ב</t>
  </si>
  <si>
    <t>המפתח לעולם החינוך - 2 כר'</t>
  </si>
  <si>
    <t>ווכטר, חיים מרדכי</t>
  </si>
  <si>
    <t>המשיח</t>
  </si>
  <si>
    <t>שחט, יעקב עמנואל</t>
  </si>
  <si>
    <t>המשפט הגדול - ב</t>
  </si>
  <si>
    <t>טיכמן, שרה</t>
  </si>
  <si>
    <t>המשפיע ר' שלמה חיים קסלמן - 2 כר'</t>
  </si>
  <si>
    <t>המשפיע שלא חזר</t>
  </si>
  <si>
    <t>המשפיע</t>
  </si>
  <si>
    <t>גיזנבורג, לוי יצחק</t>
  </si>
  <si>
    <t>הבלין, שלמה זלמן בן שלום</t>
  </si>
  <si>
    <t>הנה ימים באים - 2 כר'</t>
  </si>
  <si>
    <t>רייצס, מ.מ.</t>
  </si>
  <si>
    <t>הנהגה חסידית</t>
  </si>
  <si>
    <t>לקט אמרות</t>
  </si>
  <si>
    <t>הנהגות חסידיות</t>
  </si>
  <si>
    <t>ליקוט</t>
  </si>
  <si>
    <t>הנישואין</t>
  </si>
  <si>
    <t>גליצנשטיין, ח.</t>
  </si>
  <si>
    <t>מעלה אפרים</t>
  </si>
  <si>
    <t>הנסיך השישי בממלכת ליובאוויטש</t>
  </si>
  <si>
    <t>כבר חב"ד</t>
  </si>
  <si>
    <t>הנסיך - תולדות ר' מנחם מענדל</t>
  </si>
  <si>
    <t>גוראריה, אליהו יוחנן</t>
  </si>
  <si>
    <t>הנפש כמשל</t>
  </si>
  <si>
    <t>דעת</t>
  </si>
  <si>
    <t>הנקודה החב"דית - 2 כר'</t>
  </si>
  <si>
    <t>הנשמה האלוקית - 2 כר'</t>
  </si>
  <si>
    <t>לבנוני, צ.</t>
  </si>
  <si>
    <t>הנשר הגדול</t>
  </si>
  <si>
    <t>הסבא רבי דוד ע"ה צלקשוילי</t>
  </si>
  <si>
    <t>הרטמן, יוסף</t>
  </si>
  <si>
    <t>הסבא - הרב אפרים צבי הכהן לרר ע"ה</t>
  </si>
  <si>
    <t>לרר, אפרים</t>
  </si>
  <si>
    <t>הספסל מספר - א</t>
  </si>
  <si>
    <t>הרשקוביץ, מנחם מענדל</t>
  </si>
  <si>
    <t>הספר בהלכה</t>
  </si>
  <si>
    <t>העילוי דיום ז"ך</t>
  </si>
  <si>
    <t>הערות בשלחן ערוך אדמו"ר הזקן</t>
  </si>
  <si>
    <t>גרוס, יהושע הכהן - הבלין, יוסף יצחק</t>
  </si>
  <si>
    <t>הערות התמימים (אלעד) - ו</t>
  </si>
  <si>
    <t>הערות התמימים (טורונטו) - 4 כר'</t>
  </si>
  <si>
    <t>הערות התמימים (סטעטן איילנד)</t>
  </si>
  <si>
    <t>הערות התמימים ואנ"ש - 553 כר'</t>
  </si>
  <si>
    <t>הערות וביאורים בלקו"ש בנגלה ובחסידות - קיץ תשמ"ד</t>
  </si>
  <si>
    <t>הערות וביאורים בקונטרס אחרון לשו"ע רבינו הזקן</t>
  </si>
  <si>
    <t>חברי כולל אברכים מלבורן אוסטרליה</t>
  </si>
  <si>
    <t>מלבורן</t>
  </si>
  <si>
    <t>הערות וביאורים ברשימות - ג-ה</t>
  </si>
  <si>
    <t>דטרויט</t>
  </si>
  <si>
    <t>הערות וביאורים בשו"ע אדמו"ר הזקן - הלכות הטמנה</t>
  </si>
  <si>
    <t>כולל אברכים צמח צדק</t>
  </si>
  <si>
    <t>הערות וביאורים תמימים ואנ"ש</t>
  </si>
  <si>
    <t>מיאמי</t>
  </si>
  <si>
    <t>הערות וביאורים - 9 כר'</t>
  </si>
  <si>
    <t>כולל צמח צדק</t>
  </si>
  <si>
    <t>הערות וביאורים - ספר היובל</t>
  </si>
  <si>
    <t>קובץ דתלמידי אהלי תורה</t>
  </si>
  <si>
    <t>הערות ועיונים &lt;תות"ל קרית גת&gt; - 2 כר'</t>
  </si>
  <si>
    <t>הערות ועיונים</t>
  </si>
  <si>
    <t>הערות לשו"ע אדמו"ר הזקן הלכות פסח</t>
  </si>
  <si>
    <t>ריבלין, אליהו יוסף בן אריה ליב</t>
  </si>
  <si>
    <t>העתיד כאן</t>
  </si>
  <si>
    <t>רבינוביץ, נחום</t>
  </si>
  <si>
    <t>הפנסאי - א</t>
  </si>
  <si>
    <t>מכון לוי יצחק</t>
  </si>
  <si>
    <t>תשל"ד</t>
  </si>
  <si>
    <t>הפצת היהדות</t>
  </si>
  <si>
    <t>הפרטיזן שחיכו לו חיים אחרים</t>
  </si>
  <si>
    <t>רוטנברג, דוד זאב</t>
  </si>
  <si>
    <t>הפרטיזן</t>
  </si>
  <si>
    <t>הפרשה בגובה העינים</t>
  </si>
  <si>
    <t>לוריא, חיים (עורך)</t>
  </si>
  <si>
    <t>הפרשה והחיים</t>
  </si>
  <si>
    <t>ביסטריצקי, יוסף</t>
  </si>
  <si>
    <t>הפרשה שלי - א</t>
  </si>
  <si>
    <t>הרשקוביץ, מ"ם</t>
  </si>
  <si>
    <t>הצדיקים וספר התניא</t>
  </si>
  <si>
    <t>בעילום שנית</t>
  </si>
  <si>
    <t>הצופן הסודי</t>
  </si>
  <si>
    <t>קרנצלר, ג.</t>
  </si>
  <si>
    <t>הצפנת פענח במשנת הרבי</t>
  </si>
  <si>
    <t>הקדמת דרך חיים</t>
  </si>
  <si>
    <t>הקהל - 3 כר'</t>
  </si>
  <si>
    <t>חוברת לימוד</t>
  </si>
  <si>
    <t>הקהל</t>
  </si>
  <si>
    <t>טייכטל, חיים מנחם</t>
  </si>
  <si>
    <t>הקץ</t>
  </si>
  <si>
    <t>הרצל, שניאור זלמן בן ישעיהו</t>
  </si>
  <si>
    <t>הקצרים - 4 כר'</t>
  </si>
  <si>
    <t>הרמן, מנחם</t>
  </si>
  <si>
    <t>הקצרים - 2 כר'</t>
  </si>
  <si>
    <t>;</t>
  </si>
  <si>
    <t>הקריאה והקדושה - 5 כר'</t>
  </si>
  <si>
    <t>אגודת חסידי חב"ד</t>
  </si>
  <si>
    <t>הר המלך - 8 כר'</t>
  </si>
  <si>
    <t>מאסף תורני</t>
  </si>
  <si>
    <t>הראש והממשלה</t>
  </si>
  <si>
    <t>הראש</t>
  </si>
  <si>
    <t>מאיעסקי, שלמה</t>
  </si>
  <si>
    <t>הראשון - אדמו"ר הזקן</t>
  </si>
  <si>
    <t>הראשון</t>
  </si>
  <si>
    <t>הרב מלאדי ומפלגת חב"ד - 2 כר'</t>
  </si>
  <si>
    <t>טייטלבוים, מרדכי</t>
  </si>
  <si>
    <t>תר"ע - תרע"ג</t>
  </si>
  <si>
    <t>ורשה Warsaw</t>
  </si>
  <si>
    <t>הרב רבי הילל מפאריטש</t>
  </si>
  <si>
    <t>תשי"ד</t>
  </si>
  <si>
    <t>הרבי בפאריז</t>
  </si>
  <si>
    <t>גוטמן, שמואל מנחם מנדל</t>
  </si>
  <si>
    <t>הרבי והמונקאטשער</t>
  </si>
  <si>
    <t>הרבי ויהדות ספרד - 2 כר'</t>
  </si>
  <si>
    <t>סבאג, ברוך</t>
  </si>
  <si>
    <t>הרבי ופעלו</t>
  </si>
  <si>
    <t>הרבי וראשי הממשלה</t>
  </si>
  <si>
    <t>שבועון כפר חב"ד</t>
  </si>
  <si>
    <t>הרבי חמישים שנות נשיאות - 3 כר'</t>
  </si>
  <si>
    <t>הרבי חמישים שנות נשיאות</t>
  </si>
  <si>
    <t>הרבי מדבר לילדי ישראל</t>
  </si>
  <si>
    <t>הרבי מליובאוויטש נ"ע</t>
  </si>
  <si>
    <t>הרבי מליובאוויטש</t>
  </si>
  <si>
    <t>מערכת ופרצת</t>
  </si>
  <si>
    <t>הרבי שלי</t>
  </si>
  <si>
    <t>ליברמן, דובי - רביבו, אביטל</t>
  </si>
  <si>
    <t>הרבי שלשים שנות נשיאות - 2 כר'</t>
  </si>
  <si>
    <t>הרבי שלשים שנות נשיאות</t>
  </si>
  <si>
    <t>הרבי שנאשם בבגידה ומרידה במלכות</t>
  </si>
  <si>
    <t>קראוס, נפתלי</t>
  </si>
  <si>
    <t>הרבי - מבט אישי</t>
  </si>
  <si>
    <t>הרבי</t>
  </si>
  <si>
    <t>ליקוט מיוחד על הרבי מליובאוויטש</t>
  </si>
  <si>
    <t>ציוני דרך וסיפורים על הרבי מליובאוויטש</t>
  </si>
  <si>
    <t>הרבניות - 6 כר'</t>
  </si>
  <si>
    <t>הרשקוביץ, מנחם מנדל</t>
  </si>
  <si>
    <t>הרבניות</t>
  </si>
  <si>
    <t>רבינוביץ, שניאור</t>
  </si>
  <si>
    <t>הרבנית הצדקנית מנוחה רחל ע"ה אם חב"ד בחברון</t>
  </si>
  <si>
    <t>הרבנית חיה מושקא</t>
  </si>
  <si>
    <t>הרבנית חנה</t>
  </si>
  <si>
    <t>הרבנית - 2 כר'</t>
  </si>
  <si>
    <t>הרבנית</t>
  </si>
  <si>
    <t>הרי"ף - מכתבים ותולדות חייו של ר' יחזקאל פייגין</t>
  </si>
  <si>
    <t>ראסקין, אהרן לייב</t>
  </si>
  <si>
    <t>הריעו לפני המלך</t>
  </si>
  <si>
    <t>הרמב"ם ושלחן ערוך אדמו"ר הזקן</t>
  </si>
  <si>
    <t>ביסטריצקי, לוי בן לייב</t>
  </si>
  <si>
    <t>השביעי - הרבי מליובאוויטש</t>
  </si>
  <si>
    <t>השביעי</t>
  </si>
  <si>
    <t>השבת בקבלה ובחסידות - 2 כר'</t>
  </si>
  <si>
    <t>השיר הוא קולמוס הנפש</t>
  </si>
  <si>
    <t>ניגוני חב"ד</t>
  </si>
  <si>
    <t>השליחות החינוכית באגרות הרבי</t>
  </si>
  <si>
    <t>בוענאס איירעס</t>
  </si>
  <si>
    <t>השליחות לארץ הקודש &lt;הוצאה חדשה ומורחבת&gt;</t>
  </si>
  <si>
    <t>השליחות לארץ הקודש - 11 כר'</t>
  </si>
  <si>
    <t>שניאורסון, מנחם מנדל בן לוי יצחק (ליקוט)</t>
  </si>
  <si>
    <t>התהלוכה (תשס"א)</t>
  </si>
  <si>
    <t>לקט שיחות</t>
  </si>
  <si>
    <t>התהלוכה (תשע"ד)</t>
  </si>
  <si>
    <t>התוועדות יב-יג תמוז תשע"ט</t>
  </si>
  <si>
    <t>התוועדות מעולם אחר</t>
  </si>
  <si>
    <t>תשורה</t>
  </si>
  <si>
    <t>התוועדות</t>
  </si>
  <si>
    <t>סלבטיצקי, שבתי</t>
  </si>
  <si>
    <t>התועדות ארצית</t>
  </si>
  <si>
    <t>התועדות מהי</t>
  </si>
  <si>
    <t>התורה בהישג יד</t>
  </si>
  <si>
    <t>רשימה ביבליוגרפית</t>
  </si>
  <si>
    <t>התורה שלי - ב (שמות)</t>
  </si>
  <si>
    <t>ברוד, מנחם</t>
  </si>
  <si>
    <t>התחלת פרק מ"א בתניא</t>
  </si>
  <si>
    <t>התלמידים השלוחים</t>
  </si>
  <si>
    <t>התמים מוסף בית משיח - 47 כר'</t>
  </si>
  <si>
    <t>התמים</t>
  </si>
  <si>
    <t>התמים - 2 כר'</t>
  </si>
  <si>
    <t>קובץ תורני</t>
  </si>
  <si>
    <t>תרצ"ה - תרצ"ח</t>
  </si>
  <si>
    <t>התניא נחלת העם (הוצאה שניה מורחבת)</t>
  </si>
  <si>
    <t>התניא נחלת העם</t>
  </si>
  <si>
    <t>התניא קדישא וכחו האלקי</t>
  </si>
  <si>
    <t>ניסילעוויטש, משה</t>
  </si>
  <si>
    <t>התפילה</t>
  </si>
  <si>
    <t>נגר, שלמה</t>
  </si>
  <si>
    <t>התקופה והגאולה</t>
  </si>
  <si>
    <t>מייזליש, יוסף יצחק</t>
  </si>
  <si>
    <t>התקשרות - 34 כר'</t>
  </si>
  <si>
    <t>התקשרות</t>
  </si>
  <si>
    <t>תשנ"ט - תש"ס</t>
  </si>
  <si>
    <t>ואהבת לרעך כמוך</t>
  </si>
  <si>
    <t>ואני תפילתי</t>
  </si>
  <si>
    <t>מלוב, יחיאל</t>
  </si>
  <si>
    <t>ואני תפלתי - 2 כר'</t>
  </si>
  <si>
    <t>מינדל, ניסן</t>
  </si>
  <si>
    <t>ובחודש השביעי - 2 כר'</t>
  </si>
  <si>
    <t>ובחודש השביעי</t>
  </si>
  <si>
    <t>ובתוך רבים אהללנו</t>
  </si>
  <si>
    <t>והאר עינינו בתורתיך</t>
  </si>
  <si>
    <t>מוריסטאון</t>
  </si>
  <si>
    <t>והחי יתן אל לבו - 2 כר'</t>
  </si>
  <si>
    <t>והלכת בדרכיו</t>
  </si>
  <si>
    <t>והם יבוננוהו</t>
  </si>
  <si>
    <t>ערד, מאיר</t>
  </si>
  <si>
    <t>וואס געדיינקסטו</t>
  </si>
  <si>
    <t>אוצר סיפורים חסידיים ואמרות קודש</t>
  </si>
  <si>
    <t>וזאת הברכה - לוח ברכות</t>
  </si>
  <si>
    <t>חדד, ברוך רפאל עוזיאל</t>
  </si>
  <si>
    <t>וידעת היום</t>
  </si>
  <si>
    <t>ויהי איש מצליח</t>
  </si>
  <si>
    <t>הולצמן, תמי</t>
  </si>
  <si>
    <t>ויהי בארבעים שנה - 2 כר'</t>
  </si>
  <si>
    <t>ויהי בישורון מלך</t>
  </si>
  <si>
    <t>ויהי בשבעים שנה</t>
  </si>
  <si>
    <t>ועד שבעים שנה</t>
  </si>
  <si>
    <t>ויכוחא רבה &lt;מהדורה חדשה&gt;</t>
  </si>
  <si>
    <t>קאדאניר, יעקב</t>
  </si>
  <si>
    <t>וינחם לבטח</t>
  </si>
  <si>
    <t>שביבים מהוראות הרבי לשלוחים</t>
  </si>
  <si>
    <t>ויקרב משיחה</t>
  </si>
  <si>
    <t>שניארסון, מנחם מנדל בן לוי יצחק</t>
  </si>
  <si>
    <t>וירא העם וינועו - 2 כר'</t>
  </si>
  <si>
    <t>וכפר אדמתו עמו</t>
  </si>
  <si>
    <t>פרידמן, אליהו אריה</t>
  </si>
  <si>
    <t>ומביא גואל</t>
  </si>
  <si>
    <t>ומעין מבית ד'</t>
  </si>
  <si>
    <t>ונשמע פתגם המלך</t>
  </si>
  <si>
    <t>כץ, יוסף יצחק</t>
  </si>
  <si>
    <t>רחובות Rehovot</t>
  </si>
  <si>
    <t>ופרצת - 1-6</t>
  </si>
  <si>
    <t>תשמ"א - תשמ"ב</t>
  </si>
  <si>
    <t>וצדיק יסוד עולם</t>
  </si>
  <si>
    <t>ורבים השיב מעוון - 2 כר'</t>
  </si>
  <si>
    <t>הלפרין, אהרן דב</t>
  </si>
  <si>
    <t>ושמו מרדכי</t>
  </si>
  <si>
    <t>מענטליק, מרדכי (אודותיו)</t>
  </si>
  <si>
    <t>ושמחת בחגך - חג הסוכות ה</t>
  </si>
  <si>
    <t>ושמרתם את המצות</t>
  </si>
  <si>
    <t>בעילום שם</t>
  </si>
  <si>
    <t>נצרת</t>
  </si>
  <si>
    <t>זורע צדקות מצמיח ישועות</t>
  </si>
  <si>
    <t>זושא הפרטיזן</t>
  </si>
  <si>
    <t>בן שחר, אורי (עריכה)</t>
  </si>
  <si>
    <t>זושא של כולנו</t>
  </si>
  <si>
    <t>זיו השמות - 2 כר'</t>
  </si>
  <si>
    <t>וילהלם, ישעיהו זוסיא</t>
  </si>
  <si>
    <t>זכור לאברהם</t>
  </si>
  <si>
    <t>זכור למרים</t>
  </si>
  <si>
    <t>אייזנבך, חנניה יוסף</t>
  </si>
  <si>
    <t>זכר יהודה &lt;שו"ת מהרי"ל בטלן&gt;</t>
  </si>
  <si>
    <t>זאלקינד, יהודה ליב בן שלמה</t>
  </si>
  <si>
    <t>זכר צדיק לברכה</t>
  </si>
  <si>
    <t>חנונו, משה חיים</t>
  </si>
  <si>
    <t>זכרון הרז"ש דווארקין</t>
  </si>
  <si>
    <t>דברי ימי חייו, רשימות וסיפורים ואגרות קודש</t>
  </si>
  <si>
    <t>זכרון הרש"ז גורארי'</t>
  </si>
  <si>
    <t>התכתבותו עם כ"ק אדמו"ר מוהריי"צ נ"ע</t>
  </si>
  <si>
    <t>זכרון יוסף יצחק</t>
  </si>
  <si>
    <t>חוברת זכרון</t>
  </si>
  <si>
    <t>זכרון יעקב קאפל ז"ל</t>
  </si>
  <si>
    <t>סילבערבערג, אלימלך יוסף הכהן</t>
  </si>
  <si>
    <t>זכרון יעקב</t>
  </si>
  <si>
    <t>ספר זכרון (לר' יעקב נח ע"ה קראנץ)</t>
  </si>
  <si>
    <t>זכרון יצחק משה</t>
  </si>
  <si>
    <t>קובץ כולל לרבנות ולדיינות חב"ד</t>
  </si>
  <si>
    <t>זכרון לבני ישראל</t>
  </si>
  <si>
    <t>דזייקאבסאן, ישראל</t>
  </si>
  <si>
    <t>זכרון מנחם מאיר (א)</t>
  </si>
  <si>
    <t>כהן, מ.</t>
  </si>
  <si>
    <t>זכרון מנחם מאיר (ב)</t>
  </si>
  <si>
    <t>ח</t>
  </si>
  <si>
    <t>זכרון רפאל משה</t>
  </si>
  <si>
    <t>לייזער, חיים</t>
  </si>
  <si>
    <t>זכרון שמואל</t>
  </si>
  <si>
    <t>משפחת זלמנוב</t>
  </si>
  <si>
    <t>זכרונות אהרן - 2 כר'</t>
  </si>
  <si>
    <t>זאקאן, אהרן</t>
  </si>
  <si>
    <t>מונטריאול</t>
  </si>
  <si>
    <t>זכרונות הרב יהודה חיטריק</t>
  </si>
  <si>
    <t>חיטריק, יהודה בן צבי הירש</t>
  </si>
  <si>
    <t>זכרונות וסיפורים</t>
  </si>
  <si>
    <t>יבזלין-דבורץ, ישראל זושא</t>
  </si>
  <si>
    <t>זכרונות פון גולאג</t>
  </si>
  <si>
    <t>ליפשיץ, ברוך מרדכי</t>
  </si>
  <si>
    <t>זכרונות רבי יצחק מנחם מנדל ליס</t>
  </si>
  <si>
    <t>זכרונותי</t>
  </si>
  <si>
    <t>לוין, ישראל יהודה</t>
  </si>
  <si>
    <t>זכרונותי - 2 כר'</t>
  </si>
  <si>
    <t>זמירות לשבת קודש ויום טוב</t>
  </si>
  <si>
    <t>זמן חרותינו</t>
  </si>
  <si>
    <t>זמן חרותנו</t>
  </si>
  <si>
    <t>זמן שמחתנו</t>
  </si>
  <si>
    <t>יומנים מבית חיינו לפי ימות השנה</t>
  </si>
  <si>
    <t>ח"י אלול ה'תש"ג</t>
  </si>
  <si>
    <t>חב"ד ליובאוויטש - עסקנות ציבורית</t>
  </si>
  <si>
    <t>בעלום שם</t>
  </si>
  <si>
    <t>תשי"א</t>
  </si>
  <si>
    <t>חב"ד קריות ל"ה שנים</t>
  </si>
  <si>
    <t>חברון עיר הקודש</t>
  </si>
  <si>
    <t>חג האסיף</t>
  </si>
  <si>
    <t>חג הגאולה - י"ט כסלו</t>
  </si>
  <si>
    <t>חגי ישראל ומועדיו - 2 כר'</t>
  </si>
  <si>
    <t>ליקוט מתוך ספרי שיחות לנוער</t>
  </si>
  <si>
    <t>חגים וזמנים</t>
  </si>
  <si>
    <t>בלוי, שלום - כהן, נדב</t>
  </si>
  <si>
    <t>חגים וזמנים - חודש כסלו</t>
  </si>
  <si>
    <t>רשת חינוך חב"ד</t>
  </si>
  <si>
    <t>חגים</t>
  </si>
  <si>
    <t>מרכז דוברי עברית</t>
  </si>
  <si>
    <t>חדש הגאולה - חנוכה</t>
  </si>
  <si>
    <t>חוברת גן ישראל</t>
  </si>
  <si>
    <t>חוברת לימודים</t>
  </si>
  <si>
    <t>גן ישראל נחלת הר חב"ד</t>
  </si>
  <si>
    <t>חוברת תפארת בנים</t>
  </si>
  <si>
    <t>חובת המחאה</t>
  </si>
  <si>
    <t>חודש תשרי בבית חיינו</t>
  </si>
  <si>
    <t>חוויות בעבודת ה' בספר התניא</t>
  </si>
  <si>
    <t>עמית, שגיב</t>
  </si>
  <si>
    <t>חומש - 2 כר'</t>
  </si>
  <si>
    <t>חותמו של מלך</t>
  </si>
  <si>
    <t>פינסאן, דובער</t>
  </si>
  <si>
    <t>חזון למועד</t>
  </si>
  <si>
    <t>חידושי צמח צדק על הש"ס - שבת</t>
  </si>
  <si>
    <t>חידושים וביאורים במסכת גיטין - 3 כר'</t>
  </si>
  <si>
    <t>חידושים וביאורים במסכת שבת</t>
  </si>
  <si>
    <t>חידושים וביאורים בעניני קידושין ונישואין</t>
  </si>
  <si>
    <t>חידושים וביאורים בש"ס ובדברי הרמב"ם - 3 כר'</t>
  </si>
  <si>
    <t>חידושים וביאורים על התורה - 4 כר'</t>
  </si>
  <si>
    <t>חידושים והערות בנגלה ובחסידות - 2 כר'</t>
  </si>
  <si>
    <t>קובץ (טורונטו)</t>
  </si>
  <si>
    <t>חידושים והערות בנגלה ובחסידות - 7 כר'</t>
  </si>
  <si>
    <t>קובץ (ירושלים)</t>
  </si>
  <si>
    <t>חידושים והערות בנגלה ובחסידות - ה</t>
  </si>
  <si>
    <t>קובץ (פאולו - ברזיל)</t>
  </si>
  <si>
    <t>פאולו - ברזיל</t>
  </si>
  <si>
    <t>חידושים והערות על מסכת כתובות</t>
  </si>
  <si>
    <t>חידושים ורעיונות</t>
  </si>
  <si>
    <t>וובר, אלימלך</t>
  </si>
  <si>
    <t>חיי הצדיק במשנת החסידות</t>
  </si>
  <si>
    <t>חייל בשרות הרבי</t>
  </si>
  <si>
    <t>רייניץ, אברהם</t>
  </si>
  <si>
    <t>חיילי המלך</t>
  </si>
  <si>
    <t>חיים של חסד</t>
  </si>
  <si>
    <t>חינוך למעשה</t>
  </si>
  <si>
    <t>הוראות משיחות שנת תשמ"ח והלאה</t>
  </si>
  <si>
    <t>ליקוט הוראות הרבי מליובאוויטש</t>
  </si>
  <si>
    <t>חכם שמואל</t>
  </si>
  <si>
    <t>חרותי, רפאל</t>
  </si>
  <si>
    <t>חכמת הטהרה</t>
  </si>
  <si>
    <t>ג'ייקובס, ירוחם פישל הלוי</t>
  </si>
  <si>
    <t>חכמת לבה של נחמה גרייזמאן</t>
  </si>
  <si>
    <t>מילר, משה (עורך)</t>
  </si>
  <si>
    <t>חכמת נשים בנתה ביתה</t>
  </si>
  <si>
    <t>חלקי ה' אמרה נפשי</t>
  </si>
  <si>
    <t>שפירא, יהושע נריה בן משה</t>
  </si>
  <si>
    <t>חלקת אשר</t>
  </si>
  <si>
    <t>כהן, אשר למיל בן אברהם צבי</t>
  </si>
  <si>
    <t>חמדה גנוזה</t>
  </si>
  <si>
    <t>ביגלאייזן, יוסף חיים בן משה יהודה</t>
  </si>
  <si>
    <t>תרפ"א</t>
  </si>
  <si>
    <t>וינה Vienna</t>
  </si>
  <si>
    <t>חמישים לחמישים</t>
  </si>
  <si>
    <t>חמשה חומשי תורה (תרגום ופירוש באנגלית)</t>
  </si>
  <si>
    <t>חמשה חומשי תורה</t>
  </si>
  <si>
    <t>חמשה חומשי תורה ע"פ אור מנחם - 2 כר'</t>
  </si>
  <si>
    <t>חמשה חומשי תורה עם פירוש אנגלי - 5 כר'</t>
  </si>
  <si>
    <t>חמשה חומשי תורה עם תורת מנחם - א</t>
  </si>
  <si>
    <t>מילר, חיים (עורך)</t>
  </si>
  <si>
    <t>חמשה חומשי תורה - חבד</t>
  </si>
  <si>
    <t>חנה אריאל - 3 כר'</t>
  </si>
  <si>
    <t>אפשטיין, יצחק אייזיק בן מרדכי הלוי</t>
  </si>
  <si>
    <t>תרע"ב</t>
  </si>
  <si>
    <t>ברדיטשוב Berdichev</t>
  </si>
  <si>
    <t>חנה</t>
  </si>
  <si>
    <t>חנוך לנער - 2 כר'</t>
  </si>
  <si>
    <t>תש"ג</t>
  </si>
  <si>
    <t>חנוכת הבית - מדריך יהודי לכניסה לבית חדש</t>
  </si>
  <si>
    <t>חסיד במעשיו - ר' זלמן יואל לבנהרץ</t>
  </si>
  <si>
    <t>חסיד נאמן</t>
  </si>
  <si>
    <t>חסידות אין סוף</t>
  </si>
  <si>
    <t>פרידמן, משה יצחק בן נתן מאיר הכהן</t>
  </si>
  <si>
    <t>חסידות חב"ד בחברון</t>
  </si>
  <si>
    <t>גור אריה, יוסף</t>
  </si>
  <si>
    <t>חסידות מבוארת - מאמר כיצד מרקדין ומאמר והדרת פני זקן</t>
  </si>
  <si>
    <t>חסידי הבעש"ט בראשית דרכם</t>
  </si>
  <si>
    <t>חסידים איין משפחה - 4 כר'</t>
  </si>
  <si>
    <t>גיליון שבועי</t>
  </si>
  <si>
    <t>חסידים הראשונים - 2 כר'</t>
  </si>
  <si>
    <t>חסידים ואנשי אמת</t>
  </si>
  <si>
    <t>חקרי הלכות - 2 כר'</t>
  </si>
  <si>
    <t>חקרי הלכות - 7 כר'</t>
  </si>
  <si>
    <t>תשי"ז - תש"ל</t>
  </si>
  <si>
    <t>חקרי מנהגים - 8 כר'</t>
  </si>
  <si>
    <t>חשבונו של עולם</t>
  </si>
  <si>
    <t>ליפקין, בנימין</t>
  </si>
  <si>
    <t>חשוב טוב</t>
  </si>
  <si>
    <t>חת"ת</t>
  </si>
  <si>
    <t>סלונים, זאב דוב (עורך)</t>
  </si>
  <si>
    <t>טבריה עיר הקודש</t>
  </si>
  <si>
    <t>לקט שיחות ואגרות</t>
  </si>
  <si>
    <t>טהרה כהלכה - 2 כר'</t>
  </si>
  <si>
    <t>פרקש, יקותיאל</t>
  </si>
  <si>
    <t>טהרת מים</t>
  </si>
  <si>
    <t>טלושקין, ניסן</t>
  </si>
  <si>
    <t>טהרת ניסן</t>
  </si>
  <si>
    <t>טובת בחיריך</t>
  </si>
  <si>
    <t>טיפת חינוך יומית</t>
  </si>
  <si>
    <t>ועדת החינוך החב"די</t>
  </si>
  <si>
    <t>טללי תשובה</t>
  </si>
  <si>
    <t>טעימות</t>
  </si>
  <si>
    <t>שילת, משה</t>
  </si>
  <si>
    <t>טעמי השלחן - או"ח רנג-רנד</t>
  </si>
  <si>
    <t>י"א ניסן תש"נ</t>
  </si>
  <si>
    <t>י"ט בכסלו חג הגאולה</t>
  </si>
  <si>
    <t>י"ט כסלו</t>
  </si>
  <si>
    <t>י"ט כסלו - מהותו של יום</t>
  </si>
  <si>
    <t>מעיינותיך</t>
  </si>
  <si>
    <t>שילת, משה (המלקט והמו"ל)</t>
  </si>
  <si>
    <t>י"ט כסלו - מהותו של יום ומשמעותו לדורות</t>
  </si>
  <si>
    <t>שילת, משה בן יצחק</t>
  </si>
  <si>
    <t>יגדיל תורה &lt;החדש&gt; - ג</t>
  </si>
  <si>
    <t>יגדיל תורה &lt;חב"ד כולל צמח צדק&gt; - 5 כר'</t>
  </si>
  <si>
    <t>תשל"ז - תשל"ח</t>
  </si>
  <si>
    <t>יגדיל תורה &lt;חב"ד&gt; - 19 כר'</t>
  </si>
  <si>
    <t>יגדיל תורה ויאדיר - ב</t>
  </si>
  <si>
    <t>כולל חב"ד לוד</t>
  </si>
  <si>
    <t>יגדיל תורה - 2 כר'</t>
  </si>
  <si>
    <t>יגדיל תורה</t>
  </si>
  <si>
    <t>ידיעון - 14 כר'</t>
  </si>
  <si>
    <t>בית חב"ד חולון</t>
  </si>
  <si>
    <t>יהדות הדממה - 2 כר'</t>
  </si>
  <si>
    <t>גוטליב, נפתלי צבי</t>
  </si>
  <si>
    <t>יהדות התורה והמדינה</t>
  </si>
  <si>
    <t>יהדות מעבר להרי הקרח</t>
  </si>
  <si>
    <t>הבר, ישראל</t>
  </si>
  <si>
    <t>יהדותון - 7 כר'</t>
  </si>
  <si>
    <t>ביסטריצקי, שמואל בן לוי</t>
  </si>
  <si>
    <t>יהודי</t>
  </si>
  <si>
    <t>גבאי, אליהו</t>
  </si>
  <si>
    <t>יהלומים מספרים - ב</t>
  </si>
  <si>
    <t>יום הולדת באור החסידות</t>
  </si>
  <si>
    <t>לקט שיחות מתורת הרבי מליובאוויטש</t>
  </si>
  <si>
    <t>יום הילולא כ"ב שבט</t>
  </si>
  <si>
    <t>לזכר הרבנית חיה מושקא ע"ה</t>
  </si>
  <si>
    <t>יום הכיפורים - אהבת ישראל של יונה הנביא</t>
  </si>
  <si>
    <t>יום טוב של ר"ה תרס"ו - 11 כר'</t>
  </si>
  <si>
    <t>יום יום משיח וגאולה</t>
  </si>
  <si>
    <t>ראשון לציון</t>
  </si>
  <si>
    <t>יום יום עם הרבי</t>
  </si>
  <si>
    <t>יומא טבא לרבנן</t>
  </si>
  <si>
    <t>יומן בית חיינו - תשמ"ו</t>
  </si>
  <si>
    <t>הרשקוביץ, מאיר יחיאל</t>
  </si>
  <si>
    <t>יומן מסע</t>
  </si>
  <si>
    <t>אור יהודה</t>
  </si>
  <si>
    <t>יומן שנת הקהל התשמ"א</t>
  </si>
  <si>
    <t>יומן שנת הקהל התשמ"ח</t>
  </si>
  <si>
    <t>יומן - כסלו תשכ"ה, כסלו תשכ"ח</t>
  </si>
  <si>
    <t>הארלינג, מאיר</t>
  </si>
  <si>
    <t>יומן</t>
  </si>
  <si>
    <t>יוסי החבר הכי טוב שלי</t>
  </si>
  <si>
    <t>לזכר הרב יוסף יצחק הלוי רייטשיק ז"ל</t>
  </si>
  <si>
    <t>יוצאים לחירות</t>
  </si>
  <si>
    <t>מכתבים של הרבי מליובאוויטש</t>
  </si>
  <si>
    <t>יחד כל ילדי הכפר</t>
  </si>
  <si>
    <t>קובץ לימוד והכנה</t>
  </si>
  <si>
    <t>יחדיו</t>
  </si>
  <si>
    <t>יחי המלך</t>
  </si>
  <si>
    <t>וולפא, שלום דובער הלוי</t>
  </si>
  <si>
    <t>יחידה ביחיד</t>
  </si>
  <si>
    <t>יחידויות חתנים וכלות - 2 כר'</t>
  </si>
  <si>
    <t>יחידויות</t>
  </si>
  <si>
    <t>יחידות</t>
  </si>
  <si>
    <t>יחננו ויברכנו</t>
  </si>
  <si>
    <t>חנניה יוסף אייזנבך</t>
  </si>
  <si>
    <t>יין מלכות</t>
  </si>
  <si>
    <t>ייסודה והתפתחותה של קרית חב"ד בצפת</t>
  </si>
  <si>
    <t>ייסודו והתפתחותו של שיכון חב"ד לוד</t>
  </si>
  <si>
    <t>ייפוי כוח</t>
  </si>
  <si>
    <t>בוחנק, עטל</t>
  </si>
  <si>
    <t>ילקוט אגרות קודש</t>
  </si>
  <si>
    <t>ילקוט אפשערניש (תספורת)</t>
  </si>
  <si>
    <t>ילקוט אשל</t>
  </si>
  <si>
    <t>ילקוט בר מצוה</t>
  </si>
  <si>
    <t>לאופר, מרדכי מנשה - מרינובסקי, משה (עורכים)</t>
  </si>
  <si>
    <t>ילקוט הלכות וטעמי המנהגים חב"ד - 2 כר'</t>
  </si>
  <si>
    <t>שמלה, ראובן</t>
  </si>
  <si>
    <t>ילקוט הקהל</t>
  </si>
  <si>
    <t>ילקוט השמיטה</t>
  </si>
  <si>
    <t>ילקוט התספורת</t>
  </si>
  <si>
    <t>סעקעבריאנסקי, יוסף יצחק</t>
  </si>
  <si>
    <t>ילקוט לוי יצחק על התורה - 5 כר'</t>
  </si>
  <si>
    <t>שניאורסון, לוי יצחק בן ברוך שניאור</t>
  </si>
  <si>
    <t>ילקוט משיח וגאולה - 29 כר'</t>
  </si>
  <si>
    <t>ילקוט</t>
  </si>
  <si>
    <t>ילקוט פירושים מילקוט לוי יצחק</t>
  </si>
  <si>
    <t>שניאורסון, לוי יצחק</t>
  </si>
  <si>
    <t>ילקוט פירושים על מצות תפילין</t>
  </si>
  <si>
    <t>ילקוט תורת הנפש על פי חב"ד</t>
  </si>
  <si>
    <t>בונין (בן-נון), אלכסנדר זושא</t>
  </si>
  <si>
    <t>ימה וקדמה</t>
  </si>
  <si>
    <t>עמיקם, יאיר</t>
  </si>
  <si>
    <t>ימות המשיח בהלכה - 2 כר'</t>
  </si>
  <si>
    <t>גערליצקי, אברהם יצחק ברוך בן משה אליהו</t>
  </si>
  <si>
    <t>ימות המשיח</t>
  </si>
  <si>
    <t>ימי 770</t>
  </si>
  <si>
    <t>ימי בראשית</t>
  </si>
  <si>
    <t>יומן מתקופת קבלת הנשיאות</t>
  </si>
  <si>
    <t>ימי ברכה</t>
  </si>
  <si>
    <t>יומן אירועים בחודש החגים</t>
  </si>
  <si>
    <t>ימי הבאנייען</t>
  </si>
  <si>
    <t>אברהם, א.</t>
  </si>
  <si>
    <t>ימי הקיץ</t>
  </si>
  <si>
    <t>ימי מלך - א</t>
  </si>
  <si>
    <t>אשכנזי, שניאור - קריצ'בסקי, יוסף יצחק הלוי (עורכים)</t>
  </si>
  <si>
    <t>ימי מלך - 3 כר'</t>
  </si>
  <si>
    <t>לאופר, מרדכי מנשה</t>
  </si>
  <si>
    <t>ימי תמימים - 8 כר'</t>
  </si>
  <si>
    <t>יובל שנות פעילות חסידות חב"ד בארה"ק</t>
  </si>
  <si>
    <t>ימי תמימים</t>
  </si>
  <si>
    <t>תדפיס</t>
  </si>
  <si>
    <t>ימים בהירים - 2 כר'</t>
  </si>
  <si>
    <t>קרניאל, ע. (עריכה)</t>
  </si>
  <si>
    <t>ימים טובים עם הרבי - 4 כר'</t>
  </si>
  <si>
    <t>ימים מקדם</t>
  </si>
  <si>
    <t>פוונזר, שלמה</t>
  </si>
  <si>
    <t>ימים נוראים</t>
  </si>
  <si>
    <t>יסוד הבנין</t>
  </si>
  <si>
    <t>רבפוגל, משה מאיר (ליקט)</t>
  </si>
  <si>
    <t>יסודה והתפתחותה של שכונת נחלת הר חב"ד</t>
  </si>
  <si>
    <t>אגרות קודש, מכתבים, סיפורי חסידים</t>
  </si>
  <si>
    <t>יסודי השולחן וזיקוקי אורותיו</t>
  </si>
  <si>
    <t>זאיאנץ, שמואל</t>
  </si>
  <si>
    <t>יעקב אבינו לא מת</t>
  </si>
  <si>
    <t>יראת ה' אוצרו</t>
  </si>
  <si>
    <t>ירח האיתנים - 2 כר'</t>
  </si>
  <si>
    <t>ירחי כלה &lt;חב"ד&gt; - א</t>
  </si>
  <si>
    <t>ירחי כלה תשע"ב</t>
  </si>
  <si>
    <t>ישיבת תו"ת המרכזית</t>
  </si>
  <si>
    <t>ירחי כלה תשע"ג</t>
  </si>
  <si>
    <t>ירחי כלה תשע"ו</t>
  </si>
  <si>
    <t>ירחי כלה תשע"ח</t>
  </si>
  <si>
    <t>ירים משה - 3 כר'</t>
  </si>
  <si>
    <t>ובר, משה</t>
  </si>
  <si>
    <t>יש לתמוה &lt;שאלות וחידות בענינים שונים&gt; - א</t>
  </si>
  <si>
    <t>מתיבתא אהלי תורה</t>
  </si>
  <si>
    <t>ישיבה של מעלה מיערות בראזיל</t>
  </si>
  <si>
    <t>בנימיני, חיים</t>
  </si>
  <si>
    <t>ישמח ישראל - 2 כר'</t>
  </si>
  <si>
    <t>ישמיע כל תהלתו - 3 כר'</t>
  </si>
  <si>
    <t>ישראל נח הגדול</t>
  </si>
  <si>
    <t>יתבררו ויתלבנו הדברים</t>
  </si>
  <si>
    <t>אגודת בני תורה</t>
  </si>
  <si>
    <t>יתבררו ויתלבנו</t>
  </si>
  <si>
    <t>כבוד חכמים עטרת פז</t>
  </si>
  <si>
    <t>כבוד חכמים - 2 כר'</t>
  </si>
  <si>
    <t>אסיפת חידושי תורה</t>
  </si>
  <si>
    <t>שיקגו</t>
  </si>
  <si>
    <t>כבוד חכמים</t>
  </si>
  <si>
    <t>קובץ מיוחד לחידושי תורה</t>
  </si>
  <si>
    <t>כבוד מלך</t>
  </si>
  <si>
    <t>ניו הייוען</t>
  </si>
  <si>
    <t>כבוד מלכים - פסחים</t>
  </si>
  <si>
    <t>כבוד מלכים</t>
  </si>
  <si>
    <t>כבודה בת מלך</t>
  </si>
  <si>
    <t>ווינער, משה ניסן</t>
  </si>
  <si>
    <t>כבודה של תורה - 6 כר'</t>
  </si>
  <si>
    <t>כה תברכו</t>
  </si>
  <si>
    <t>רוט, משה אריאל בן נפתלי הכהן</t>
  </si>
  <si>
    <t>כוחה של סנגוריה - 2 כר'</t>
  </si>
  <si>
    <t>שניאורסון, יהושע פישל בן שניאור זלמן</t>
  </si>
  <si>
    <t>כולם בחכמה - 2 כר'</t>
  </si>
  <si>
    <t>רוטנברג, ש. (ליקוט ועריכה)</t>
  </si>
  <si>
    <t>כולנו כאחד</t>
  </si>
  <si>
    <t>כי הם חיינו</t>
  </si>
  <si>
    <t>כי קדוש היום</t>
  </si>
  <si>
    <t>פרידמאן, אלתר אליהו הכהן</t>
  </si>
  <si>
    <t>כינוס בית הבחירה - תשנ"ג</t>
  </si>
  <si>
    <t>קובץ שיעורים</t>
  </si>
  <si>
    <t>כינוס השלוחים העולמי</t>
  </si>
  <si>
    <t>כינוס מחנכי חב"ד (באנגלית)</t>
  </si>
  <si>
    <t>כינוס מחנכי חב"ד</t>
  </si>
  <si>
    <t>כינוס תורה (בוסטון)</t>
  </si>
  <si>
    <t>בוסטון</t>
  </si>
  <si>
    <t>כינוס תורה (כפר חב"ד) - 2 כר'</t>
  </si>
  <si>
    <t>כינוס תורה (לונדון)</t>
  </si>
  <si>
    <t>כינוס תורה (קאלקאסקא, מישיגען)</t>
  </si>
  <si>
    <t>קאלקאסקא</t>
  </si>
  <si>
    <t>כינוס תורה (קזבלנקה)</t>
  </si>
  <si>
    <t>כזבלנכה</t>
  </si>
  <si>
    <t>כינוס תורה (קרית מלאכי) - א</t>
  </si>
  <si>
    <t>כינוס תורה הגדול</t>
  </si>
  <si>
    <t>כינוס תורה - 12 כר'</t>
  </si>
  <si>
    <t>תשכ"ז</t>
  </si>
  <si>
    <t>כיצד מסלפים</t>
  </si>
  <si>
    <t>כיצד נחנך את ילדינו - 2 כר'</t>
  </si>
  <si>
    <t>כל היוצא למלחמת בית דוד</t>
  </si>
  <si>
    <t>כל סיפורי הרבי - 5 כר'</t>
  </si>
  <si>
    <t>זלמנוב, אבי - בורנשטיין, יעקב - ליברמן, שנ"ז</t>
  </si>
  <si>
    <t>כל עצמותי</t>
  </si>
  <si>
    <t>ניגוני חסידי חב"ד</t>
  </si>
  <si>
    <t>כללי הפוסקים וההוראה</t>
  </si>
  <si>
    <t>כללי רמב"ם</t>
  </si>
  <si>
    <t>לאופר, מרדכי מנשה (עורך)</t>
  </si>
  <si>
    <t>כללי רש"י - 2 כר'</t>
  </si>
  <si>
    <t>בלוי, טוביה (עורך)</t>
  </si>
  <si>
    <t>כללים בדא"ח</t>
  </si>
  <si>
    <t>כמותו ממש</t>
  </si>
  <si>
    <t>כמים לים מכסים</t>
  </si>
  <si>
    <t>כן אמר הלל</t>
  </si>
  <si>
    <t>רבינוביץ, הלל</t>
  </si>
  <si>
    <t>כס המלך</t>
  </si>
  <si>
    <t>קובץ בית חב"ד כפר סבא</t>
  </si>
  <si>
    <t>כפר סבא</t>
  </si>
  <si>
    <t>כפר חב"ד - 2 כר'</t>
  </si>
  <si>
    <t>כפר של תפילה</t>
  </si>
  <si>
    <t>ועד רוחני דכפר חב"ד</t>
  </si>
  <si>
    <t>כפתור ופרח</t>
  </si>
  <si>
    <t>רוזנשטיין, יצחק איזיק בן אברהם דוב</t>
  </si>
  <si>
    <t>תרצ"ז - תרצ"ח</t>
  </si>
  <si>
    <t>כרם חב"ד - 3 כר'</t>
  </si>
  <si>
    <t>כרם חב"ד</t>
  </si>
  <si>
    <t>כרם מנחם - א</t>
  </si>
  <si>
    <t>והבה, מנחם מענדל</t>
  </si>
  <si>
    <t>לימה</t>
  </si>
  <si>
    <t>כשהיינו ילדים</t>
  </si>
  <si>
    <t>כשיתבונן האדם - נושאים</t>
  </si>
  <si>
    <t>מעיינותך</t>
  </si>
  <si>
    <t>כשרות</t>
  </si>
  <si>
    <t>מכון לחקר והגברת מודעות בנושאי כשרות המזון</t>
  </si>
  <si>
    <t>כתבי אברהם אליהו</t>
  </si>
  <si>
    <t>כתבי הרח"א ביחובסקי</t>
  </si>
  <si>
    <t>ביחובסקי, חיים אליעזר הכהן</t>
  </si>
  <si>
    <t>כתבי קודש מחכמי אמת</t>
  </si>
  <si>
    <t>כתבי קודש. תרפ"ח</t>
  </si>
  <si>
    <t>לובלין Lublin</t>
  </si>
  <si>
    <t>כתבי ר' אייזיק - 3 כר'</t>
  </si>
  <si>
    <t>שוויי, אייזיק בן מרדכי אליהו</t>
  </si>
  <si>
    <t>כתר מלכות</t>
  </si>
  <si>
    <t>כתר שם טוב השלם &lt;מהדורה חדשה&gt;</t>
  </si>
  <si>
    <t>כניו יורק</t>
  </si>
  <si>
    <t>כתר שם טוב השלם - 2 כר'</t>
  </si>
  <si>
    <t>כתר שם טוב מפורש ומבואר - 2 כר'</t>
  </si>
  <si>
    <t>ל"ב סביון</t>
  </si>
  <si>
    <t>לא יהיה לך אלקים אחרים על פני</t>
  </si>
  <si>
    <t>לא יצא בצבא</t>
  </si>
  <si>
    <t>לא תשתחוו (מחיי הקאנטוניסטים)</t>
  </si>
  <si>
    <t>המרכז לעניני חנוך</t>
  </si>
  <si>
    <t>לאהוב</t>
  </si>
  <si>
    <t>לאורם נתחנך - 2 כר'</t>
  </si>
  <si>
    <t>לב הארי</t>
  </si>
  <si>
    <t>טננבוים, זושא</t>
  </si>
  <si>
    <t>לב השבת</t>
  </si>
  <si>
    <t>נחמנסון, יהודה לייב</t>
  </si>
  <si>
    <t>לב טהור</t>
  </si>
  <si>
    <t>לב יהודה</t>
  </si>
  <si>
    <t>לוין, יהודה לייב</t>
  </si>
  <si>
    <t>לב לדעת</t>
  </si>
  <si>
    <t>לב לדעת - 3 כר'</t>
  </si>
  <si>
    <t>מאסף</t>
  </si>
  <si>
    <t>לב לדעת - 5 כר'</t>
  </si>
  <si>
    <t>לבקר בהיכלו - הכנה לנסיעה לחצרות קדשנו</t>
  </si>
  <si>
    <t>לבשי בגדי תפארתך - א-ג</t>
  </si>
  <si>
    <t>ועדת החינוך של מוסדות בית רבקה</t>
  </si>
  <si>
    <t>לגבורה של תורה</t>
  </si>
  <si>
    <t>לגעת בנשמות</t>
  </si>
  <si>
    <t>סלובטיצקי, שבתי</t>
  </si>
  <si>
    <t>לדעת להאמין</t>
  </si>
  <si>
    <t>להביא לימות המשיח</t>
  </si>
  <si>
    <t>גינזבורג, לוי יצחק</t>
  </si>
  <si>
    <t>לקט מהוראות הרבי להבאת הגאולה</t>
  </si>
  <si>
    <t>לקט מקורות בענייני תשובה</t>
  </si>
  <si>
    <t>להבין ולהשכיל</t>
  </si>
  <si>
    <t>שניאורסון, מנחם מנדל בן לוי יצחק - כהן, יואל</t>
  </si>
  <si>
    <t>להבין חסידות</t>
  </si>
  <si>
    <t>להודות ולהלל - בדיני חנוכה ופורים</t>
  </si>
  <si>
    <t>וילהלם, נחמן</t>
  </si>
  <si>
    <t>להיות בשמחה תמיד</t>
  </si>
  <si>
    <t>כ"ץ, יוסף יצחק</t>
  </si>
  <si>
    <t>להעלות נר תמיד - א</t>
  </si>
  <si>
    <t>להשבית אויב ומתנקם</t>
  </si>
  <si>
    <t>להשכילך בינה</t>
  </si>
  <si>
    <t>להתכונן</t>
  </si>
  <si>
    <t>תגר, מלכה</t>
  </si>
  <si>
    <t>לוח השמטות ותיקונים על סידור רבינו הזקן</t>
  </si>
  <si>
    <t>רסקין, לוי יצחק</t>
  </si>
  <si>
    <t>לוח התיקון לשו"ע אדמו"ר הזקן תשס"א-תשס"ז</t>
  </si>
  <si>
    <t>לוח התיקון</t>
  </si>
  <si>
    <t>לוח חב"ד - תשנ"ג</t>
  </si>
  <si>
    <t>לוח חב"ד</t>
  </si>
  <si>
    <t>לוח יום יומי הלכה למעשה - חג השבועות</t>
  </si>
  <si>
    <t>בד"צ דקראון הייטס</t>
  </si>
  <si>
    <t>לוח כולל חב"ד לשנת תש"ע</t>
  </si>
  <si>
    <t>כולל חב"ד</t>
  </si>
  <si>
    <t>לוח כולל חב"ד לשנת תשס"ז</t>
  </si>
  <si>
    <t>לוח כולל חב"ד לשנת תשע"א</t>
  </si>
  <si>
    <t>לוח כולל חב"ד לשנת תשע"ג</t>
  </si>
  <si>
    <t>לוח ראשי תיבות חב"ד</t>
  </si>
  <si>
    <t>פרידמן, פרץ</t>
  </si>
  <si>
    <t>לחוש איך זה מחוב"ד</t>
  </si>
  <si>
    <t>ארגון נשי ובנות חב"ד באה"ק</t>
  </si>
  <si>
    <t>לחיות ושוב לחיות</t>
  </si>
  <si>
    <t>לחיות עם הזמן</t>
  </si>
  <si>
    <t>גרייזמן, נחמה</t>
  </si>
  <si>
    <t>לחיות עם זה</t>
  </si>
  <si>
    <t>לחיים ולברכה</t>
  </si>
  <si>
    <t>חיטריק, יוסף יצחק</t>
  </si>
  <si>
    <t>טייב, מיכאל</t>
  </si>
  <si>
    <t>לחשוב כיהודי</t>
  </si>
  <si>
    <t>פוזנר, זלמן י.</t>
  </si>
  <si>
    <t>לטביה בתי כנסת ורבנים</t>
  </si>
  <si>
    <t>ברכהן, נתן</t>
  </si>
  <si>
    <t>ליובאוויטש וחיילה</t>
  </si>
  <si>
    <t>הכהן, רפאל נחמן</t>
  </si>
  <si>
    <t>ליובאוויטש ערש חסידות חב"ד</t>
  </si>
  <si>
    <t>ליובאוויטש שבליובאוויטש - 2 כר'</t>
  </si>
  <si>
    <t>ליובאוויטש - תולדות העיירה</t>
  </si>
  <si>
    <t>אגודת חסידי חב"ד במדינות חבר העמים</t>
  </si>
  <si>
    <t>ליובאוויטשע מצה</t>
  </si>
  <si>
    <t>ליכט שטראלן - 6 כר'</t>
  </si>
  <si>
    <t>כהן, אלישב</t>
  </si>
  <si>
    <t>תשכ"ט</t>
  </si>
  <si>
    <t>לימוד החסידות</t>
  </si>
  <si>
    <t>ליקוט בנושא הכנסת הילד לחדר</t>
  </si>
  <si>
    <t>פונטו קומבו צרפת</t>
  </si>
  <si>
    <t>ליקוט בענין הכתיבה לרבי</t>
  </si>
  <si>
    <t>ליקוט ומנהגי ראש חודש</t>
  </si>
  <si>
    <t>רפופורט, חים</t>
  </si>
  <si>
    <t>ליקוט טעמים ומקורות לסליחות</t>
  </si>
  <si>
    <t>ליקוט כאן צוה ה' את הברכה</t>
  </si>
  <si>
    <t>ליקוט כתבי יד קודש - 5 כר'</t>
  </si>
  <si>
    <t>ליקוט מחידושי הצמח צדק על הש"ס - קידושין</t>
  </si>
  <si>
    <t>ליקוט מנהגי הרביים - ליל הסדר</t>
  </si>
  <si>
    <t>געז, אברהם בצלאל</t>
  </si>
  <si>
    <t>ברינוא</t>
  </si>
  <si>
    <t>ליקוט מענות קודש - 4 כר'</t>
  </si>
  <si>
    <t>ליקוט מפירש"י עה"ת</t>
  </si>
  <si>
    <t>ליקוט מקורות בענין גאולה ומשיח - ב-ד</t>
  </si>
  <si>
    <t>תלמידי אהלי תורה</t>
  </si>
  <si>
    <t>ליקוט מראי מקומות אודות לימוד פנימיות התורה</t>
  </si>
  <si>
    <t>מראי מקומות</t>
  </si>
  <si>
    <t>ליקוט מראי מקומות לקונטרס ר"ח כסלו</t>
  </si>
  <si>
    <t>ליקוט מראי מקומות</t>
  </si>
  <si>
    <t>קאראקאס</t>
  </si>
  <si>
    <t>ליקוט מראי מקומות שצויינו בליקוטי שיחות</t>
  </si>
  <si>
    <t>ליקוט משיחות קודש - גודל שמחת בית השואבה ברשות הרבים</t>
  </si>
  <si>
    <t>ליקוט ניגונים - 2 כר'</t>
  </si>
  <si>
    <t>ליקוט פירושים</t>
  </si>
  <si>
    <t>תשע"ב;</t>
  </si>
  <si>
    <t>ליקוט שיחות ומכתבים</t>
  </si>
  <si>
    <t>ליקוטי אור</t>
  </si>
  <si>
    <t>פיזם, יוסף אברהם</t>
  </si>
  <si>
    <t>ליקוטי אורות - 2 כר'</t>
  </si>
  <si>
    <t>וואלפסון, משה</t>
  </si>
  <si>
    <t>ליקוטי אמרים  תניא עם ביאור רחב - אגרת התשובה</t>
  </si>
  <si>
    <t>ליקוטי אמרים &lt;תניא&gt; - 2 כר'</t>
  </si>
  <si>
    <t>תקס"ה</t>
  </si>
  <si>
    <t>זולקוה Zholkva</t>
  </si>
  <si>
    <t>ליקוטי אמרים תניא &lt;בצירוף מ"מ ליקוטי פירושים וש"נ&gt; - 6 כר'</t>
  </si>
  <si>
    <t>ליקוטי אמרים תניא &lt;טקסט&gt;</t>
  </si>
  <si>
    <t>ליקוטי אמרים תניא (בתרגום אידיש)</t>
  </si>
  <si>
    <t>ליקוטי אמרים תניא (בתרגום אנגלית)</t>
  </si>
  <si>
    <t>ליקוטי אמרים תניא (בתרגום גרמנית) - 2 כר'</t>
  </si>
  <si>
    <t>ליקוטי אמרים תניא (בתרגום ספרדית) - ד</t>
  </si>
  <si>
    <t>ריו דה ז'נרו</t>
  </si>
  <si>
    <t>ליקוטי אמרים תניא (בתרגום ערבית)</t>
  </si>
  <si>
    <t>ליקוטי אמרים תניא (בתרגום צרפתית)</t>
  </si>
  <si>
    <t>ליקוטי אמרים תניא ע"פ חסידות מבוארת - 2 כר'</t>
  </si>
  <si>
    <t>מכון אליעזר יצחק</t>
  </si>
  <si>
    <t>ליקוטי אמרים תניא עם ביאור השווה לכל נפש - 6 כר'</t>
  </si>
  <si>
    <t>שניאור זלמן בן ברוך מלאדי - כהן, יואל</t>
  </si>
  <si>
    <t>ליקוטי אמרים תניא עם ביאור ר' יואל קאהן - א</t>
  </si>
  <si>
    <t>קאהן, יואל</t>
  </si>
  <si>
    <t>ליקוטי אמרים תניא עם ביאורים ופנינים - 2 כר'</t>
  </si>
  <si>
    <t>שניאור זלמן בן ברוך מלאדי - לינק, משה</t>
  </si>
  <si>
    <t>ליקוטי אמרים תניא עם ליקוטי ציטוטים</t>
  </si>
  <si>
    <t>חן, עמית (מלקט)</t>
  </si>
  <si>
    <t>ליקוטי אמרים תניא עם לקוט פירושים - 2 כר'</t>
  </si>
  <si>
    <t>ליקוט פירושים מספרי וכתבי רבותינו נשיאינו</t>
  </si>
  <si>
    <t>ליקוטי אמרים תניא עם פירוש חסידות מבוארת - 5 כר'</t>
  </si>
  <si>
    <t>ליקוטי אמרים תניא - מהדורא קמא</t>
  </si>
  <si>
    <t>ליקוטי אמרים - 3 כר'</t>
  </si>
  <si>
    <t>ליקוטי ביאורים בספר התניא - 4 כר'</t>
  </si>
  <si>
    <t>קארף, יהושע בן גדליה</t>
  </si>
  <si>
    <t>ניו יררק</t>
  </si>
  <si>
    <t>ליקוטי ביאורים בספר התניא - מילואים לחלק ראשון</t>
  </si>
  <si>
    <t>קארף, יהושע בן דליה</t>
  </si>
  <si>
    <t>ליקוטי ביאורים לי"ב הפסוקים ומרז"ל</t>
  </si>
  <si>
    <t>לקוטי ביאורים</t>
  </si>
  <si>
    <t>ליקוטי ביאורים</t>
  </si>
  <si>
    <t>תרכ"ח</t>
  </si>
  <si>
    <t>ליקוטי בעש"ט</t>
  </si>
  <si>
    <t>ליקוטי דיבורים - 2 כר'</t>
  </si>
  <si>
    <t>ליקוטי דיבורים - 3 כר'</t>
  </si>
  <si>
    <t>שניאורסון, יוסף יצחק. תירגם: גליצנשטיין, אברהם חנוך</t>
  </si>
  <si>
    <t>ליקוטי הגהות לספר התניא</t>
  </si>
  <si>
    <t>ליקוטי הוראות מנהגים וביאורים בענייני שידוכים ונישואין</t>
  </si>
  <si>
    <t>ליקוטי הנהגות והלכות בחינוך על טהרת הקדש</t>
  </si>
  <si>
    <t>ליקוטי לוי יצחק - 4 כר'</t>
  </si>
  <si>
    <t>ליקוטי ספורים</t>
  </si>
  <si>
    <t>פרלוב, חיים מרדכי</t>
  </si>
  <si>
    <t>ליקוטי ערכים בש"ס וברמב"ם</t>
  </si>
  <si>
    <t>ליקוטי רשימות ומעשיות</t>
  </si>
  <si>
    <t>לקוטי רשימות ומעשיות</t>
  </si>
  <si>
    <t>ליקוטי שיחות &lt;מועדים&gt; - 6 כר'</t>
  </si>
  <si>
    <t>ליקוטי שיחות &lt;רעיונות לפרשת השבוע&gt; - 2 כר'</t>
  </si>
  <si>
    <t>תשל"ח</t>
  </si>
  <si>
    <t>ליקוטי שיחות &lt;תרגום חפשי&gt; - 22 כר'</t>
  </si>
  <si>
    <t>ליקוטי שיחות - 43 כר'</t>
  </si>
  <si>
    <t>ליקוטי שיר השירים</t>
  </si>
  <si>
    <t>ליקוטי תורה לג' פרשיות</t>
  </si>
  <si>
    <t>שניאורסון שמואל בן מנחם מענדל</t>
  </si>
  <si>
    <t>תרמ"ד</t>
  </si>
  <si>
    <t>ווילנא</t>
  </si>
  <si>
    <t>ליקוטי תורה מספר בראשית</t>
  </si>
  <si>
    <t>ליקוטי תורה תורת שמואל - 26 כר'</t>
  </si>
  <si>
    <t>ליקוטי תורה</t>
  </si>
  <si>
    <t>ליקוטים באורים</t>
  </si>
  <si>
    <t>ברודנא, אברהם צבי בן משה</t>
  </si>
  <si>
    <t>תרפ"ב</t>
  </si>
  <si>
    <t>ליקוטים יקרים</t>
  </si>
  <si>
    <t>ליקוטים להמראי מקומות לליקוטי שיחות - 10 כר'</t>
  </si>
  <si>
    <t>ליקוטים להמראי מקומות</t>
  </si>
  <si>
    <t>לכבוד התורה</t>
  </si>
  <si>
    <t>מכון לדעת</t>
  </si>
  <si>
    <t>לכבודו של מלך - 9 כר'</t>
  </si>
  <si>
    <t>קובץ: ישיבת תומכי תמימים קרית גת</t>
  </si>
  <si>
    <t>לכבודו של צדיק</t>
  </si>
  <si>
    <t>כזבלנכה Casablanca</t>
  </si>
  <si>
    <t>לכה דודי</t>
  </si>
  <si>
    <t>גאלאמב, מיכאל חנוך</t>
  </si>
  <si>
    <t>לכתחילה אריבער</t>
  </si>
  <si>
    <t>שניאורסון, מנחם מנדל בן לוי יצחק - בוקיעט, אברהם שמואל (עורך)</t>
  </si>
  <si>
    <t>ללא מורא - 2 כר'</t>
  </si>
  <si>
    <t>ללמוד איך להתפלל - 5 כר'</t>
  </si>
  <si>
    <t>ללמוד את המועדים</t>
  </si>
  <si>
    <t>ללמוד וללמד</t>
  </si>
  <si>
    <t>מנדלזון, לוי יצחק</t>
  </si>
  <si>
    <t>ללמוד תניא - פרקים א-נג</t>
  </si>
  <si>
    <t>למען ידעו... בנים יולדו</t>
  </si>
  <si>
    <t>שוסטרמן, מרדכי</t>
  </si>
  <si>
    <t>למען תצליח</t>
  </si>
  <si>
    <t>אוירכמן, יחיאל ברוך</t>
  </si>
  <si>
    <t>לספר מבראשית - 2 כר'</t>
  </si>
  <si>
    <t>לעורר את האהבה</t>
  </si>
  <si>
    <t>לפני המלך</t>
  </si>
  <si>
    <t>לפני מי אתה עומד</t>
  </si>
  <si>
    <t>קפלון, נחמיה (ערך וליקט)</t>
  </si>
  <si>
    <t>לפנים משורת הדין</t>
  </si>
  <si>
    <t>טאובר, י.</t>
  </si>
  <si>
    <t>תשס"</t>
  </si>
  <si>
    <t>לפקוח את העינים</t>
  </si>
  <si>
    <t>לקבל פני משיח צדקנו בפועל ממש</t>
  </si>
  <si>
    <t>ארגון נשי ובנות חב"ד</t>
  </si>
  <si>
    <t>לקוטי שיחות מבואר - א (בשלח י' שבט)</t>
  </si>
  <si>
    <t>לקוטי תורה המבואר - ד"ה אחרי ה' אלקיכם תלכו (פ' ראה)</t>
  </si>
  <si>
    <t>שניאור זלמן בן ברוך מלאדי - געלב, לוי</t>
  </si>
  <si>
    <t>לקוטי תורה ותורה אור המבואר - קעא</t>
  </si>
  <si>
    <t>לקוטי תורה ותורה אור המבואר - 12 כר'</t>
  </si>
  <si>
    <t>געלב, לוי</t>
  </si>
  <si>
    <t>לקט אמרים ופתגמי קדש בגודל מעלת לימוד שעורי חת"ת</t>
  </si>
  <si>
    <t>סלונים, זאב דב</t>
  </si>
  <si>
    <t>לקט הוראות בטחון ארץ הקדש</t>
  </si>
  <si>
    <t>לקט הליכות ומנהגי שבת קודש - 3 כר'</t>
  </si>
  <si>
    <t>זעליגזאן, מיכאל אהרן</t>
  </si>
  <si>
    <t>לקט הלכות ומנהגים לחג הפסח</t>
  </si>
  <si>
    <t>בלינוב, אברהם אשר</t>
  </si>
  <si>
    <t>לקט הלכות לתלמידים מתוך קיצור שלחן ערוך</t>
  </si>
  <si>
    <t>ביסטריצקי, לוי בן יהודה לייב</t>
  </si>
  <si>
    <t>לקט ופרט - 4 כר'</t>
  </si>
  <si>
    <t>לקט חידושי תורה - 3 כר'</t>
  </si>
  <si>
    <t>לקט חידושים וביאורים במסכת בבא בתרא</t>
  </si>
  <si>
    <t>לקט ליום ההילולא י' שבט</t>
  </si>
  <si>
    <t>לקט ליום ההילולא</t>
  </si>
  <si>
    <t>לקט מאמרים על האשה בישראל</t>
  </si>
  <si>
    <t>נשי חב"ד</t>
  </si>
  <si>
    <t>לקט מביאורי רבותינו נשיאינו - קידושין</t>
  </si>
  <si>
    <t>אשכנזי, מנחם מנדל</t>
  </si>
  <si>
    <t>לקט מכתבי קודש</t>
  </si>
  <si>
    <t>לקט מענות קודש</t>
  </si>
  <si>
    <t>מערכת כינוס השלוחים</t>
  </si>
  <si>
    <t>לקט מתורת רבותינו נשיאינו - תשנ"ט</t>
  </si>
  <si>
    <t>אביכזר, גבריאל</t>
  </si>
  <si>
    <t>לקט מתורת רבותינו נשיאינו - 2 כר'</t>
  </si>
  <si>
    <t>לקט מתורת רבותינו נשיאנו - תשנ"א</t>
  </si>
  <si>
    <t>זעליגזאן, מיכאל אהרן (ערך וליקט)</t>
  </si>
  <si>
    <t>לקט סיפורים על הרבי מליובאויטש - 7 כר'</t>
  </si>
  <si>
    <t>לקט סיפורים</t>
  </si>
  <si>
    <t>לקט ספורים</t>
  </si>
  <si>
    <t>לקט עיונים ובירורי הלכה</t>
  </si>
  <si>
    <t>קפלן, אריה ליב</t>
  </si>
  <si>
    <t>לקט פירושים על תפילת שמונה עשרה</t>
  </si>
  <si>
    <t>מצגר, בנימין</t>
  </si>
  <si>
    <t>לקט ציונים והערות לש"ע אדמו"ר הזקן - 4 כר'</t>
  </si>
  <si>
    <t>ביסטריצקי, לוי</t>
  </si>
  <si>
    <t>לקראת שבת - 6 כר'</t>
  </si>
  <si>
    <t>איגוד תלמידי הישיבות העולמי</t>
  </si>
  <si>
    <t>לקרב הניצוץ אל המאור</t>
  </si>
  <si>
    <t>כלב, יאיר</t>
  </si>
  <si>
    <t>לשם ולתפארת</t>
  </si>
  <si>
    <t>לשם מה חייבים רבי - ואתה תצוה בעיון</t>
  </si>
  <si>
    <t>לשמוע בקול דברו</t>
  </si>
  <si>
    <t>לשמך תן כבוד</t>
  </si>
  <si>
    <t>לשמע אזן</t>
  </si>
  <si>
    <t>דוכמאן, שניאור זלמן הלוי</t>
  </si>
  <si>
    <t>מ'פארט צום רבי'ן</t>
  </si>
  <si>
    <t>קובץ הכנה</t>
  </si>
  <si>
    <t>מאגר ערכים בספרות חב"ד - 2 כר'</t>
  </si>
  <si>
    <t>לייאנס, דוד</t>
  </si>
  <si>
    <t>אשדוד</t>
  </si>
  <si>
    <t>מאה ואחד סיפורים ראשונים לילד החסידי - 5 כר'</t>
  </si>
  <si>
    <t>רוטנברג, שולמית (עריכה)</t>
  </si>
  <si>
    <t>מאה שנה להולדת הרבי - 2 כר'</t>
  </si>
  <si>
    <t>מאה שערים &lt;מהדורה חדשה&gt; - 2 כר'</t>
  </si>
  <si>
    <t>אדמור"י חב"ד</t>
  </si>
  <si>
    <t>מאה שערים</t>
  </si>
  <si>
    <t>ביחובסקי, חיים אליעזר - היילמן, חיים מאיר</t>
  </si>
  <si>
    <t>תרע"ג</t>
  </si>
  <si>
    <t>מאוצר המלך - 3 כר'</t>
  </si>
  <si>
    <t>שניאורסון מנחם מענדל בן לוי יצחק</t>
  </si>
  <si>
    <t>מאור התורה - יתרו</t>
  </si>
  <si>
    <t>מאורה של תורה - 2 כר'</t>
  </si>
  <si>
    <t>מאורי ישראל</t>
  </si>
  <si>
    <t>שמואל, ב.</t>
  </si>
  <si>
    <t>מאחורי הקלעים</t>
  </si>
  <si>
    <t>קרסיק, שמוליק - וולף, זושא</t>
  </si>
  <si>
    <t>מאחורי מסך הברזל</t>
  </si>
  <si>
    <t>מאחורי קווי האויב</t>
  </si>
  <si>
    <t>מאי חנוכה - 3 כר'</t>
  </si>
  <si>
    <t>מאמר השפלות והשמחה - 2 כר'</t>
  </si>
  <si>
    <t>מאמר חסידות מבואר - בעצם היום הזה</t>
  </si>
  <si>
    <t>מאמר יציאת מצרים</t>
  </si>
  <si>
    <t>תרל"ז</t>
  </si>
  <si>
    <t>מאמר לאדמו"ר הרש"ב זי"ע עם פירוש חסידות מבוארת</t>
  </si>
  <si>
    <t>חסידות מבוארת</t>
  </si>
  <si>
    <t>מאמר מבואר - 14 כר'</t>
  </si>
  <si>
    <t>מאמר ערוך</t>
  </si>
  <si>
    <t>גולומב, חנוך מיכאל</t>
  </si>
  <si>
    <t>מאמר שני המאורות</t>
  </si>
  <si>
    <t>תרע"ח</t>
  </si>
  <si>
    <t>Poltava פולטבה</t>
  </si>
  <si>
    <t>מאמר - 4 כר'</t>
  </si>
  <si>
    <t>מאמר - 6 כר'</t>
  </si>
  <si>
    <t>מאמר - 7 כר'</t>
  </si>
  <si>
    <t>מאמר - ד"ה עשרה שיושבים תרפ"ח</t>
  </si>
  <si>
    <t>שניאורסון, יוסף יצחק - עזרן שי (ביאור)</t>
  </si>
  <si>
    <t>מאמר - 12 כר'</t>
  </si>
  <si>
    <t>מאמר - 3 כר'</t>
  </si>
  <si>
    <t>מאמר - 10 כר'</t>
  </si>
  <si>
    <t>מאמר - 5 כר'</t>
  </si>
  <si>
    <t>מאמרי אדמו"ר האמצעי &lt;טקסט&gt;</t>
  </si>
  <si>
    <t>מאמרי אדמו"ר האמצעי - 19 כר'</t>
  </si>
  <si>
    <t>מאמרי אדמו"ר הזקן ע"פ חסידות מבוארת - שבת</t>
  </si>
  <si>
    <t>מאמרי אדמו"ר הזקן - 32 כר'</t>
  </si>
  <si>
    <t>מאמרי אדמו"ר הצמח צדק הנחות תרי"ד-תרט"ו &lt;טקסט&gt;</t>
  </si>
  <si>
    <t>מאמרי אדמו"ר הצמח צדק הנחות - א &lt;בראשית-חיי שרה&gt;</t>
  </si>
  <si>
    <t>מאמרי אדמו"ר הצמח צדק - 2 כר'</t>
  </si>
  <si>
    <t>מאמרי אדמו"ר הרש"ב עם ביאור נרחב - א</t>
  </si>
  <si>
    <t>מאמרי באתי לגני - תשט"ז תשל"ו</t>
  </si>
  <si>
    <t>מאמרי בשעה שהקדימו, וידבר גו' לאמר - תשל"ח</t>
  </si>
  <si>
    <t>מאמרי השתטחות</t>
  </si>
  <si>
    <t>מאמרי חסידות</t>
  </si>
  <si>
    <t>שניאורסון, יוסף יצחק</t>
  </si>
  <si>
    <t>מאמרי חתונה עם פירוש חסידות מבוארת</t>
  </si>
  <si>
    <t>מאמרי חתונה</t>
  </si>
  <si>
    <t>מאמרי קודש פון כ"ק אדמו"ר שליט"א</t>
  </si>
  <si>
    <t>תש"ב</t>
  </si>
  <si>
    <t>מאמרים יקרים</t>
  </si>
  <si>
    <t>תרכ"ד</t>
  </si>
  <si>
    <t>קניגסברג Koenigsberg</t>
  </si>
  <si>
    <t>מאמרים מלוקטים מספר ליקוטי תורה של רבנו הזקן</t>
  </si>
  <si>
    <t>מאמרים מלוקטים - 3 כר'</t>
  </si>
  <si>
    <t>מאמרים פון כ"ק אדמו"ר שליט"א</t>
  </si>
  <si>
    <t>מאמרים קצרים - קובץ ו</t>
  </si>
  <si>
    <t>מאמרים של כ"ק אדמו"ר</t>
  </si>
  <si>
    <t>מאמרים - יפה שעה אחת בתשובה ומעש"ט. להבין מארז"ל מפני מה ת"ח כו'</t>
  </si>
  <si>
    <t>מאסר וגאולת אדמו"ר האמצעי</t>
  </si>
  <si>
    <t>לוין, שלום דובער (עורך)</t>
  </si>
  <si>
    <t>מבוא למסכת גיטין</t>
  </si>
  <si>
    <t>וילהלם, ישעיהו זושא</t>
  </si>
  <si>
    <t>מבוא לקריאה</t>
  </si>
  <si>
    <t>ליפשיץ, י. י.</t>
  </si>
  <si>
    <t>מבועי החסידות - א</t>
  </si>
  <si>
    <t>מבחר מאמרים למחשבת חב"ד</t>
  </si>
  <si>
    <t>מבחר מאמרים</t>
  </si>
  <si>
    <t>מבט אל החיים</t>
  </si>
  <si>
    <t>מכון רוהר</t>
  </si>
  <si>
    <t>מבט חסידי על מועדי ישראל</t>
  </si>
  <si>
    <t>ברוד, אליעזר יעקב הלוי</t>
  </si>
  <si>
    <t>מבט מיוחד</t>
  </si>
  <si>
    <t>מבית המלכות - 2 כר'</t>
  </si>
  <si>
    <t>לובעצקי, מאיר שלמה</t>
  </si>
  <si>
    <t>פריז</t>
  </si>
  <si>
    <t>מבית חיינו</t>
  </si>
  <si>
    <t>מבית חיינו - 4 כר'</t>
  </si>
  <si>
    <t>מבנה התניא ורעיונות מרכזיים</t>
  </si>
  <si>
    <t>מבצע הדפסת ספר התניא - 2 כר'</t>
  </si>
  <si>
    <t>מבצע הדפסת ספר התניא</t>
  </si>
  <si>
    <t>מבצע תפילין</t>
  </si>
  <si>
    <t>מבצעון</t>
  </si>
  <si>
    <t>רשת אהלי יוסף</t>
  </si>
  <si>
    <t>מגבעות אשורנו</t>
  </si>
  <si>
    <t>גרשוני, ב.צ</t>
  </si>
  <si>
    <t>מגדל אור &lt;לוס אנג'לס&gt; - 15 כר'</t>
  </si>
  <si>
    <t>קובץ (לוס אנג'לס)</t>
  </si>
  <si>
    <t>לוס אנג'לס</t>
  </si>
  <si>
    <t>מגדל אור &lt;מגדל העמק&gt; - 3 כר'</t>
  </si>
  <si>
    <t>קובץ (מגדל העמק)</t>
  </si>
  <si>
    <t>מגדל דוד - 35 כר'</t>
  </si>
  <si>
    <t>מגדל עז</t>
  </si>
  <si>
    <t>מגולה לגאולה</t>
  </si>
  <si>
    <t>פרידמן, אלתר אליהו הכהן (עורך)</t>
  </si>
  <si>
    <t>מגיד דבריו ליעקב &lt;הוצאה חדשה&gt;</t>
  </si>
  <si>
    <t>מגיד דבריו ליעקב - 2 כר'</t>
  </si>
  <si>
    <t>תרס"ה</t>
  </si>
  <si>
    <t>סטו מרה Satu Mare</t>
  </si>
  <si>
    <t>מגיד מראשית אחרית</t>
  </si>
  <si>
    <t>מאליסוב, הלל בן מאיר הלוי מפאריטש - גינזבורג, יצחק</t>
  </si>
  <si>
    <t>מגילת אסתר וברכת המזון עם ליקוטי ביאורים</t>
  </si>
  <si>
    <t>מגילת אסתר ובהמ"ז</t>
  </si>
  <si>
    <t>מגילת אסתר עם שערי מגילה</t>
  </si>
  <si>
    <t>מגילת אסתר עם תרגום רוסית</t>
  </si>
  <si>
    <t>מגילת חייו של הרב מלאדי זצ"ל</t>
  </si>
  <si>
    <t>שניאורסון, שטערנע שרה</t>
  </si>
  <si>
    <t>מגילת י"ט כסלו</t>
  </si>
  <si>
    <t>מגילת ראש חודש כסלו</t>
  </si>
  <si>
    <t>תלמוד תורה תפארת מנחם</t>
  </si>
  <si>
    <t>מגילת רות עם ביאורים מהרבי מליובאוויטש</t>
  </si>
  <si>
    <t>קפלן, יואל פנחס (עורך)</t>
  </si>
  <si>
    <t>מדברי הרבי לילדי ישראל</t>
  </si>
  <si>
    <t>מדריך הלכתי לפסח</t>
  </si>
  <si>
    <t>הענדל, טויבא פרידא</t>
  </si>
  <si>
    <t>מדריך הלכתי - 2 כר'</t>
  </si>
  <si>
    <t>מדריך הסברה לסדר מהלך החתונה</t>
  </si>
  <si>
    <t>אופנר, שניאור זלמן</t>
  </si>
  <si>
    <t>מדריך לאמהות בחנוך הגיל הרך</t>
  </si>
  <si>
    <t>מדריך להכשרת מטבח</t>
  </si>
  <si>
    <t>דובאוו, נסים דוד</t>
  </si>
  <si>
    <t>מדריך לטהרת המשפחה לפי שיטת חב"ד</t>
  </si>
  <si>
    <t>הנדל, ישראל יוסף בן יצחק הכהן</t>
  </si>
  <si>
    <t>מדריך תכנית העבודה לגיל הרך</t>
  </si>
  <si>
    <t>זמיר, רחל</t>
  </si>
  <si>
    <t>מדרכי ההשתלשלות - 2 כר'</t>
  </si>
  <si>
    <t>ארטובסקי, דניאל מרדכי</t>
  </si>
  <si>
    <t>מדרכי הקונטרס - 2 כר'</t>
  </si>
  <si>
    <t>לב, יהודה אריה בן יוסף משה</t>
  </si>
  <si>
    <t>מדרש ריב"ש טוב</t>
  </si>
  <si>
    <t>אברהם, יהודה ליב בן ישראל</t>
  </si>
  <si>
    <t>תרפ"ז</t>
  </si>
  <si>
    <t>קצ'קמט Kecskemet</t>
  </si>
  <si>
    <t>מדת הבטחון</t>
  </si>
  <si>
    <t>מה טובו אהליך</t>
  </si>
  <si>
    <t>מילוואקי, וויסקאנסין</t>
  </si>
  <si>
    <t>מה ידוע לך על חב"ד</t>
  </si>
  <si>
    <t>מה עשו נשיאי ארה"ב ורוסיה בעירו של הרבי</t>
  </si>
  <si>
    <t>מה רבו מעשיך ה'</t>
  </si>
  <si>
    <t>גינזבורג, יוסף - ברנובר, ירמיהו</t>
  </si>
  <si>
    <t>מה שסיפר לי סבא - 4 כר'</t>
  </si>
  <si>
    <t>מלוקט משיחות לנוער</t>
  </si>
  <si>
    <t>מה שספר לי הרבי - 3 כר'</t>
  </si>
  <si>
    <t>גרונר, לוי יצחק</t>
  </si>
  <si>
    <t>מהדורא בתרא מבוארת מתוך שלחן ערוך אדמו"ר הזקן</t>
  </si>
  <si>
    <t>מהדורה בתרא המבוארת מתוך שו"ע הרב - הלכות שבת</t>
  </si>
  <si>
    <t>למברג, אוריאל</t>
  </si>
  <si>
    <t>מהותם של ישראל במשנת החסידות</t>
  </si>
  <si>
    <t>מוסר השכל</t>
  </si>
  <si>
    <t>תרי"ט</t>
  </si>
  <si>
    <t>לא ידוע</t>
  </si>
  <si>
    <t>מועדים לחסידות - ב</t>
  </si>
  <si>
    <t>מורה לדור נבוך - 3 כר'</t>
  </si>
  <si>
    <t>מושל ברוחו</t>
  </si>
  <si>
    <t>רוזנבוים, ליאור</t>
  </si>
  <si>
    <t>מזוזה - שמירה וברכה (באנגלית)</t>
  </si>
  <si>
    <t>ברסמן, דוד ניסן</t>
  </si>
  <si>
    <t>מזוזה - עיונים הלכות מנהגים וסיפורים</t>
  </si>
  <si>
    <t>מכון ליובאוויטש</t>
  </si>
  <si>
    <t>מזוזה</t>
  </si>
  <si>
    <t>צימער, אוריאל</t>
  </si>
  <si>
    <t>מזמור לתודה - 2 כר'</t>
  </si>
  <si>
    <t>מחזור השלם ליוה"כ כמנהג חב"ד עם תרגום צרפתית</t>
  </si>
  <si>
    <t>מחזור יוה"כ כמנהג חב"ד</t>
  </si>
  <si>
    <t>מחזור השלם לר"ה ויה"כ - מהדורה מוערת</t>
  </si>
  <si>
    <t>מחזור השלם</t>
  </si>
  <si>
    <t>מחזור השלם לר"ה ויוה"כ ע"פ מנהג חב"ד</t>
  </si>
  <si>
    <t>מחזור לר"ה ויוה"כ</t>
  </si>
  <si>
    <t>מחזור השלם לראש השנה עם תרגום אנגלי</t>
  </si>
  <si>
    <t>מחזור לראש השנה כמנהג חב"ד</t>
  </si>
  <si>
    <t>מחזור ליום הכיפורים אבינו מלכנו</t>
  </si>
  <si>
    <t>מחזור ליום הכיפורים</t>
  </si>
  <si>
    <t>מחזור לראש השנה &lt;עם תרגום ספרדית&gt;</t>
  </si>
  <si>
    <t>מחזור</t>
  </si>
  <si>
    <t>מחזור עם פירוש משולב - 2 כר'</t>
  </si>
  <si>
    <t>מחזור עם פירוש משולב</t>
  </si>
  <si>
    <t>מחיל אל חיל - א</t>
  </si>
  <si>
    <t>בטאון אגודת הרבנים למדינות חבר העמים</t>
  </si>
  <si>
    <t>מחנה יוסף - עיונים במשנת רבינו</t>
  </si>
  <si>
    <t>מחצבת - 2 כר'</t>
  </si>
  <si>
    <t>מחשבת החסידות - 2 כר'</t>
  </si>
  <si>
    <t>מחתרת חסידית בברית המועצות</t>
  </si>
  <si>
    <t>מטל השמים - 2 כר'</t>
  </si>
  <si>
    <t>מי מה ואימתי</t>
  </si>
  <si>
    <t>מינדל, ניסן - קרנצלר, גרשון</t>
  </si>
  <si>
    <t>מיהו יהודי ועל גירות על פי ההלכה</t>
  </si>
  <si>
    <t>מיידנצ'יק הקטר של חב"ד</t>
  </si>
  <si>
    <t>חסקי, שלמה</t>
  </si>
  <si>
    <t>מיין גענעראל - 2 כר'</t>
  </si>
  <si>
    <t>קליין, ירחמיאל בנימין</t>
  </si>
  <si>
    <t>מיין נחמן</t>
  </si>
  <si>
    <t>סודאק, נחמן</t>
  </si>
  <si>
    <t>מילואים לספר חידושים וביאורים במסכת גיטין</t>
  </si>
  <si>
    <t>מילואים לספר מראי מקומות לספר משנה תורה</t>
  </si>
  <si>
    <t>מילון עברי אנגלי</t>
  </si>
  <si>
    <t>מלון עברי אנגלי</t>
  </si>
  <si>
    <t>מכריעים עולם באחת</t>
  </si>
  <si>
    <t>אלבום הכנס הארצי של נשי ובנות חב"ד באה"ק</t>
  </si>
  <si>
    <t>מכתב הוד כ"ק אדמו"ר שליט"א מליובאוויטש אודות ספר התניא</t>
  </si>
  <si>
    <t>תש"ז</t>
  </si>
  <si>
    <t>מכתב תשובה</t>
  </si>
  <si>
    <t>זלצמן, הלל</t>
  </si>
  <si>
    <t>מכתבי החתונה</t>
  </si>
  <si>
    <t>מכתבי פאר</t>
  </si>
  <si>
    <t>גרינפלד, מנחם מנדל (עורך)</t>
  </si>
  <si>
    <t>מכתבים מבית חיינו</t>
  </si>
  <si>
    <t>הלוי, אברהם אלטר</t>
  </si>
  <si>
    <t>מכתבים מהבעל שם טוב ותלמידיו</t>
  </si>
  <si>
    <t>תרפ"ג</t>
  </si>
  <si>
    <t>מכתבים</t>
  </si>
  <si>
    <t>מלאה הארץ דעה</t>
  </si>
  <si>
    <t>מלוה מלכה</t>
  </si>
  <si>
    <t>מליץ יושר</t>
  </si>
  <si>
    <t>לוי יצחק בן מאיר מברדיטשוב</t>
  </si>
  <si>
    <t>מלך המשיח</t>
  </si>
  <si>
    <t>פרידמן, מיכאל הכהן - ווילשאנסקי, סנדר</t>
  </si>
  <si>
    <t>מלכות ישראל - 2 כר'</t>
  </si>
  <si>
    <t>מלתא דבדיחותא - אוצר חכמה וחדוד לקורא הצעיר</t>
  </si>
  <si>
    <t>רוטנברג, דוד</t>
  </si>
  <si>
    <t>ממלכת כהנים</t>
  </si>
  <si>
    <t>הנדל, ישראל יוסף הכהן</t>
  </si>
  <si>
    <t>ממעיני החסידות - 2 כר'</t>
  </si>
  <si>
    <t>מן המעין</t>
  </si>
  <si>
    <t>מנגינת החיים</t>
  </si>
  <si>
    <t>פאלטער, דוד שרגא</t>
  </si>
  <si>
    <t>מנהג חב"ד בכתיבת הכתובה ובנוסח התפילה</t>
  </si>
  <si>
    <t>מנחם משיב נפשי - מבוא להלכות טהרה</t>
  </si>
  <si>
    <t>הראל, מנחם מענדל</t>
  </si>
  <si>
    <t>מנחם משיב נפשי</t>
  </si>
  <si>
    <t>מנחם משיב נפשי - 2 כר'</t>
  </si>
  <si>
    <t>מנחת התמימים</t>
  </si>
  <si>
    <t>מנחת יהודה וירושלים</t>
  </si>
  <si>
    <t>קעלער, יהודה בן מאיר ליבר</t>
  </si>
  <si>
    <t>מנחת נחום</t>
  </si>
  <si>
    <t>טרבניק, נחום</t>
  </si>
  <si>
    <t>מנחת תמים - 2 כר'</t>
  </si>
  <si>
    <t>בואנוס אירס Buenos</t>
  </si>
  <si>
    <t>מסירות נפש של יהודי בוכרה</t>
  </si>
  <si>
    <t>ניאזוב, שלמה חיי</t>
  </si>
  <si>
    <t>מסכת אבות &lt;בעש"ט&gt;</t>
  </si>
  <si>
    <t>תשכ"ה</t>
  </si>
  <si>
    <t>מסע הרבי בארץ הקודש</t>
  </si>
  <si>
    <t>מעגל השנה באור החסידות</t>
  </si>
  <si>
    <t>פרקי לימוד</t>
  </si>
  <si>
    <t>מעגל חיים</t>
  </si>
  <si>
    <t>גרין, חנן</t>
  </si>
  <si>
    <t>מעדני יום טוב</t>
  </si>
  <si>
    <t>מעדני מלך - א</t>
  </si>
  <si>
    <t>מעדני מלך - ו</t>
  </si>
  <si>
    <t>מעדני מלכות</t>
  </si>
  <si>
    <t>מעט מן האור - 2 כר'</t>
  </si>
  <si>
    <t>מעיין חי - בראשית</t>
  </si>
  <si>
    <t>זילברשטרום, ש. - זקס, ר.</t>
  </si>
  <si>
    <t>מעיינות החסידות - 2 כר'</t>
  </si>
  <si>
    <t>מעיינותיך חוברת לימוד - דרך מצוותיך</t>
  </si>
  <si>
    <t>מעייני הישועה - 2 כר'</t>
  </si>
  <si>
    <t>מעייני רש"י - 2 כר'</t>
  </si>
  <si>
    <t>מעין האוצר - 3 כר'</t>
  </si>
  <si>
    <t>מפעל פענוח המפתחות</t>
  </si>
  <si>
    <t>מעלי שבתא - 2 כר'</t>
  </si>
  <si>
    <t>וילהלם, מרדכי דובער</t>
  </si>
  <si>
    <t>טורנטו</t>
  </si>
  <si>
    <t>מעלת מספר ששים</t>
  </si>
  <si>
    <t>מענה לשון</t>
  </si>
  <si>
    <t>תפילות</t>
  </si>
  <si>
    <t>מענה מלך - ב</t>
  </si>
  <si>
    <t>מענות נדירים</t>
  </si>
  <si>
    <t>מעשה ברבי</t>
  </si>
  <si>
    <t>מעשה חשב &lt;חלקי&gt; - תולדות הרה"ג ר' חיים שאול ברוק</t>
  </si>
  <si>
    <t>קסטל, מנחם מנדל</t>
  </si>
  <si>
    <t>מעשה מלך - 2 כר'</t>
  </si>
  <si>
    <t>לקט מנהגי ה"ק אדמו"ר מליובאוויטש</t>
  </si>
  <si>
    <t>מעשה רבי</t>
  </si>
  <si>
    <t>מפתח אינצקלופדי לתורת חסידות חב"ד</t>
  </si>
  <si>
    <t>מפתח ביאורי פירוש רש"י על התורה ונ"ך - 2 כר'</t>
  </si>
  <si>
    <t>שגלוב, יוסף יצחק הלוי</t>
  </si>
  <si>
    <t>מפתח בעניני בית הבחירה</t>
  </si>
  <si>
    <t>מפתח</t>
  </si>
  <si>
    <t>מפתח להוראות והדרכות</t>
  </si>
  <si>
    <t>גולדשטיין, לוי</t>
  </si>
  <si>
    <t>מפתח לפסוקים מחז"ל וכו' אשר בספר התניא</t>
  </si>
  <si>
    <t>מפתח לקונטרס עץ החיים</t>
  </si>
  <si>
    <t>מפתח מאמרים ושיחות - 2 כר'</t>
  </si>
  <si>
    <t>מפתח מאמרים שיחות ומכתבים</t>
  </si>
  <si>
    <t>מפתח ענינים בעניני גאולה ומשיח</t>
  </si>
  <si>
    <t>מפתח ענינים</t>
  </si>
  <si>
    <t>מפתח ענינים ומראי מקומות למאמר אנכי מגן לך תרנ"ח</t>
  </si>
  <si>
    <t>תלמידי מתיבתא אהלי תורה</t>
  </si>
  <si>
    <t>מפתח ענינים למאמרי כ"ק אדמו"ר שלום דובער זצוקללה"ה</t>
  </si>
  <si>
    <t>מפתח ענינים לרשימות</t>
  </si>
  <si>
    <t>מפתח ענינים לשיחות קודש - א</t>
  </si>
  <si>
    <t>מפתח ענינים לשלחן ערוך אדמו"ר הזקן</t>
  </si>
  <si>
    <t>מפתח ערכים לספר כללי הפוסקים וההוראה</t>
  </si>
  <si>
    <t>מפתח ערכים</t>
  </si>
  <si>
    <t>מפתח שמות בעלי המימרות שבפרש"י עה"ת</t>
  </si>
  <si>
    <t>מפתח שמות</t>
  </si>
  <si>
    <t>מפתחות והערות לספר ליקוטי תורה</t>
  </si>
  <si>
    <t>מפתחות לספר המאמרים תרל"ו</t>
  </si>
  <si>
    <t>מפתחות לספר התניא</t>
  </si>
  <si>
    <t>מפתחות לספר כתר שם טוב ולספר צוואת הריב"ש</t>
  </si>
  <si>
    <t>מפתחות לספרי ליקוטי שיחות - 2 כר'</t>
  </si>
  <si>
    <t>מצב חרום</t>
  </si>
  <si>
    <t>מצדיקי הרבים ככוכבים - 8 כר'</t>
  </si>
  <si>
    <t>מצוה יומית - 3 כר'</t>
  </si>
  <si>
    <t>ע"פ ספר המצות להרמב"ם</t>
  </si>
  <si>
    <t>מצוות נרות שבת קודש</t>
  </si>
  <si>
    <t>מצות הקהל</t>
  </si>
  <si>
    <t>אזדאבא, הדסה</t>
  </si>
  <si>
    <t>מצות כתיבת ספר תורה בזמננו</t>
  </si>
  <si>
    <t>מציץ מן החרכים</t>
  </si>
  <si>
    <t>רובשקין, שלום מרדכי בן אברהם אהרן הלוי</t>
  </si>
  <si>
    <t>מצעד האחדות</t>
  </si>
  <si>
    <t>מצרף העבודה - א</t>
  </si>
  <si>
    <t>מקדש ישראל</t>
  </si>
  <si>
    <t>שיחות ותמונות במסיבות חתונה</t>
  </si>
  <si>
    <t>מקדש מלך - 4 כר'</t>
  </si>
  <si>
    <t>לאופר, מרדכי מנשה (ליקט וערך)</t>
  </si>
  <si>
    <t>מקדש מלך</t>
  </si>
  <si>
    <t>מקדשי שמך - סוד הקדיש</t>
  </si>
  <si>
    <t>מקוה ע"ג האוצר</t>
  </si>
  <si>
    <t>לרנר, בועז</t>
  </si>
  <si>
    <t>מקורות וביאורים בספר המנהגים</t>
  </si>
  <si>
    <t>גדלוביץ, יהודה שמשון</t>
  </si>
  <si>
    <t>מקשיבים לפרשה - ב</t>
  </si>
  <si>
    <t>הוצאת דורות</t>
  </si>
  <si>
    <t>מרא דאתרא</t>
  </si>
  <si>
    <t>לנדא, יעקב (אודותיו)</t>
  </si>
  <si>
    <t>מראה מקומות הגהות והערות קצרות - לספר של בינונים</t>
  </si>
  <si>
    <t>מראה מקומות, הגהות והערות קצרות - 8 כר'</t>
  </si>
  <si>
    <t>מראי מקומות וציונים לסדר ברכת הנהנין של אדמו"ר הזקן</t>
  </si>
  <si>
    <t>מראי מקומות וציונים לשו"ע אדמו"ר הזקן - או"ח</t>
  </si>
  <si>
    <t>מראי מקומות וציונים לשו"ע אדמו"ר הזקן - יו"ד</t>
  </si>
  <si>
    <t>מראי מקומות וציונים לשו"ע אדמו"ר הזקן - 2 כר'</t>
  </si>
  <si>
    <t>מאנגעל, ניסן</t>
  </si>
  <si>
    <t>מראי מקומות לספר משנה תורה - 2 כר'</t>
  </si>
  <si>
    <t>מראי מקומות לספר משנה תורה</t>
  </si>
  <si>
    <t>מראי מקומות לספר משנה תורה - ספר מילואים</t>
  </si>
  <si>
    <t>מראי מקומות לפסוקים מחז"ל וכו' אשר בספר התניא</t>
  </si>
  <si>
    <t>מראי מקומות לקונטרס אחרון</t>
  </si>
  <si>
    <t>מרבים בשמחה</t>
  </si>
  <si>
    <t>ג'רופי, מנדי</t>
  </si>
  <si>
    <t>מרומם ואיש עליה</t>
  </si>
  <si>
    <t>מרכז ישיבות תומכי תמימים ליובאוויטש</t>
  </si>
  <si>
    <t>מרכז הישיבות תומכי תמימים</t>
  </si>
  <si>
    <t>משבחי רבי</t>
  </si>
  <si>
    <t>משיח שבכל דור</t>
  </si>
  <si>
    <t>קלויזנר, ישכר דוד</t>
  </si>
  <si>
    <t>משיחות כ"ק אדמו"ר שליט"א</t>
  </si>
  <si>
    <t>משכן וכליו ע"פ חסידות</t>
  </si>
  <si>
    <t>משל הקדמוני - סוגית תלמוד תורה</t>
  </si>
  <si>
    <t>רסקין, שמואל</t>
  </si>
  <si>
    <t>משלי חב"ד</t>
  </si>
  <si>
    <t>ליקוט משלים המובאים בחסידות חב"ד</t>
  </si>
  <si>
    <t>משלי רבי</t>
  </si>
  <si>
    <t>משלים בחסידות - 3 כר'</t>
  </si>
  <si>
    <t>הנדל, ד.</t>
  </si>
  <si>
    <t>משמיע שלום</t>
  </si>
  <si>
    <t>משנה אורה</t>
  </si>
  <si>
    <t>ארגון נשי חב"ד באה"ק</t>
  </si>
  <si>
    <t>משנה תורה (עם ביאור קצר) - הלכות תלמוד תורה</t>
  </si>
  <si>
    <t>ליקוט מפרשים</t>
  </si>
  <si>
    <t>משנה תורה לרמב"ם עם חידושים וביאורים - א (מדע)</t>
  </si>
  <si>
    <t>משנת יואל</t>
  </si>
  <si>
    <t>דיסקין, יואל בן מנחם נחום</t>
  </si>
  <si>
    <t>תש"א</t>
  </si>
  <si>
    <t>משנתו של הרבי מליובאוויטש</t>
  </si>
  <si>
    <t>משענת משה</t>
  </si>
  <si>
    <t>יחיאל משה בן מ י</t>
  </si>
  <si>
    <t>תרס"ט</t>
  </si>
  <si>
    <t>פיוטרקוב Piotrkow</t>
  </si>
  <si>
    <t>משפט הספרים - דידן נצח</t>
  </si>
  <si>
    <t>משפט סעדיה</t>
  </si>
  <si>
    <t>משקה המשמח</t>
  </si>
  <si>
    <t>משקה</t>
  </si>
  <si>
    <t>מתוך תורתו של הרבי 54 שיחות</t>
  </si>
  <si>
    <t>כהן, רפאל</t>
  </si>
  <si>
    <t>מתחילים תניא - פרקים א-יב</t>
  </si>
  <si>
    <t>ליקוט מפרשני התניא המרכזיים</t>
  </si>
  <si>
    <t>מתן בסתר</t>
  </si>
  <si>
    <t>אברג'ל, יעקב בן חנניה</t>
  </si>
  <si>
    <t>מתפלה לגאולה</t>
  </si>
  <si>
    <t>קאגאן, לוי בן יצחק מאיר</t>
  </si>
  <si>
    <t>נאות דשא - 3 כר'</t>
  </si>
  <si>
    <t>אלקין, שמואל אליהו בן חיים יעקב</t>
  </si>
  <si>
    <t>תשי"ח - תשי"ט</t>
  </si>
  <si>
    <t>נגונים חסידיים (חב"ד)</t>
  </si>
  <si>
    <t>ריבקין, אליהו ליב</t>
  </si>
  <si>
    <t>נגינה לאור החסידות</t>
  </si>
  <si>
    <t>לייבמן, לב</t>
  </si>
  <si>
    <t>נודע בשיעורים</t>
  </si>
  <si>
    <t>נוה המלך</t>
  </si>
  <si>
    <t>נוה מונסון</t>
  </si>
  <si>
    <t>נוסח התנאים - נוסח חב"ד</t>
  </si>
  <si>
    <t>בלינוב, יוסף יצחק בן מרדכי</t>
  </si>
  <si>
    <t>נוסעים לרבי - חוברת השלמה</t>
  </si>
  <si>
    <t>נוסעים לרבי</t>
  </si>
  <si>
    <t>נזר הבארדיטשעווער</t>
  </si>
  <si>
    <t>וילהלם, שלמה</t>
  </si>
  <si>
    <t>זיטומיר</t>
  </si>
  <si>
    <t>נזר הבעל שם טוב</t>
  </si>
  <si>
    <t>נזר המגיד ממעזריטש</t>
  </si>
  <si>
    <t>נזר התניא - 7 כר'</t>
  </si>
  <si>
    <t>נטע שעשועים</t>
  </si>
  <si>
    <t>ניגון ארבע בבות</t>
  </si>
  <si>
    <t>ניגון ביגון</t>
  </si>
  <si>
    <t>פורסט, יצחק</t>
  </si>
  <si>
    <t>ניגוני הרבי - 2 כר'</t>
  </si>
  <si>
    <t>ניגוני הרבי</t>
  </si>
  <si>
    <t>ניגוני התוועדויות הרבי - 2 כר'</t>
  </si>
  <si>
    <t>ניגוני התוועדויות הרבי</t>
  </si>
  <si>
    <t>ניצוצי אהרן</t>
  </si>
  <si>
    <t>חזן, אהרן בן מרדכי</t>
  </si>
  <si>
    <t>ניצוצי אור</t>
  </si>
  <si>
    <t>מארכיוני הרב ניסן מינדל ע"ה</t>
  </si>
  <si>
    <t>נישואים אזרחיים במשנתו של הרוגוצ'ובי ז"ל</t>
  </si>
  <si>
    <t>טננבוים, מנחם מנדל (עורך)</t>
  </si>
  <si>
    <t>נלכה באורחותיו</t>
  </si>
  <si>
    <t>נסיגה מן השטחים, הפסקת אש, ומיהו יהודי</t>
  </si>
  <si>
    <t>נפלאות הברית</t>
  </si>
  <si>
    <t>עמית, ירון</t>
  </si>
  <si>
    <t>נפלאות הטבע - 2 כר'</t>
  </si>
  <si>
    <t>נבון, א. (עריכה)</t>
  </si>
  <si>
    <t>נפלאות ממש עכשו</t>
  </si>
  <si>
    <t>אפק, בינה</t>
  </si>
  <si>
    <t>נפש תחת נפש</t>
  </si>
  <si>
    <t>נפשי תערוג</t>
  </si>
  <si>
    <t>נצר מטעי</t>
  </si>
  <si>
    <t>נצרת עלית</t>
  </si>
  <si>
    <t>נר המערבי - ב</t>
  </si>
  <si>
    <t>וונקובר - קנדה</t>
  </si>
  <si>
    <t>נר למאה - ח</t>
  </si>
  <si>
    <t>נר למשיחי</t>
  </si>
  <si>
    <t>נר מצוה &lt;טקסט&gt;</t>
  </si>
  <si>
    <t>נר מצוה ותורה אור - 2 כר'</t>
  </si>
  <si>
    <t>נר מצוה</t>
  </si>
  <si>
    <t>אהרן בן צבי הירש הכהן מאפטא</t>
  </si>
  <si>
    <t>נראה בכבודו - 2 כר'</t>
  </si>
  <si>
    <t>נרות להאיר - א</t>
  </si>
  <si>
    <t>קובץ, כפר חב"ד</t>
  </si>
  <si>
    <t>נרות להאיר - 2 כר'</t>
  </si>
  <si>
    <t>קובץ, קראקאס</t>
  </si>
  <si>
    <t>קראקאס</t>
  </si>
  <si>
    <t>נרות שבת קודש - 2 כר'</t>
  </si>
  <si>
    <t>נשואי הנשיאים</t>
  </si>
  <si>
    <t>נשיא וחסיד</t>
  </si>
  <si>
    <t>קראוס, שמואל</t>
  </si>
  <si>
    <t>נשיאי חב"ד ובני דורם</t>
  </si>
  <si>
    <t>נשיאי חב"ד ויהדות גרוזיה</t>
  </si>
  <si>
    <t>נשיאים במאסר</t>
  </si>
  <si>
    <t>מכון באהלי צדיקים</t>
  </si>
  <si>
    <t>נשמה עם עצמה</t>
  </si>
  <si>
    <t>נתיבות איש - שערי תורה והנהגה</t>
  </si>
  <si>
    <t>גבסון, אורי שי</t>
  </si>
  <si>
    <t>נתיבות חיים</t>
  </si>
  <si>
    <t>נתיבים בשדה השליחות - 2 כר'</t>
  </si>
  <si>
    <t>ראסקין, לוי יצחק</t>
  </si>
  <si>
    <t>סגולת אברהם</t>
  </si>
  <si>
    <t>סדור ע"פ נוסח האריז"ל עם פניני החסידות - 2 כר'</t>
  </si>
  <si>
    <t>סדור ע"פ נוסח האר"י ז"ל</t>
  </si>
  <si>
    <t>סדור עם פניני החסידות - שחרית לימי החול</t>
  </si>
  <si>
    <t>סדור עם פניני החסידות</t>
  </si>
  <si>
    <t>סדור שער מנחם על פי נוסח האר"י ז"ל</t>
  </si>
  <si>
    <t>ביסטריצקי, לוי (ליקט וסידר)</t>
  </si>
  <si>
    <t>סדור תהלת ה' &lt;עם תרגום באנגלית&gt;</t>
  </si>
  <si>
    <t>תפילות. סידור. תשע"ד. ניו יורק.</t>
  </si>
  <si>
    <t>סדור תהלת ה' עם ביאור תפילה</t>
  </si>
  <si>
    <t>סדור תהלת ה'</t>
  </si>
  <si>
    <t>תפילות. סידור. תשס"ח. ניו יורק</t>
  </si>
  <si>
    <t>סדר ברכות ותפלות עם תרגום אנגלי</t>
  </si>
  <si>
    <t>תפילות. ברכות</t>
  </si>
  <si>
    <t>תשי"ז</t>
  </si>
  <si>
    <t>סדר ברכת החמה ע"פ מנהג חב"ד</t>
  </si>
  <si>
    <t>סדר ברכת המזון עם עיוני הסדור</t>
  </si>
  <si>
    <t>רסקין, לוי יצחק בן שלום דובער</t>
  </si>
  <si>
    <t>סדר ברכת הנהנין</t>
  </si>
  <si>
    <t>סדר הגדה של פסח (כתב יד)</t>
  </si>
  <si>
    <t>תק"כ</t>
  </si>
  <si>
    <t>קיצע</t>
  </si>
  <si>
    <t>סדר הגדה של פסח (פרעש בורג)</t>
  </si>
  <si>
    <t>סדר הגדה של פסח</t>
  </si>
  <si>
    <t>כתב יד</t>
  </si>
  <si>
    <t>ברטיסלבה</t>
  </si>
  <si>
    <t>סדר הכנסת ספר תורה ע"פ מנהג חב"ד</t>
  </si>
  <si>
    <t>סדר הכנסת ספר תורה</t>
  </si>
  <si>
    <t>סדר הנהגה לתלמידים - 2 כר'</t>
  </si>
  <si>
    <t>סדר הנהגה לתלמידים</t>
  </si>
  <si>
    <t>סדר הקפות בשמח"ת</t>
  </si>
  <si>
    <t>סדר מכירת חמץ</t>
  </si>
  <si>
    <t>סדר מלווה מלכה</t>
  </si>
  <si>
    <t>מרצבך, דן שמואל</t>
  </si>
  <si>
    <t>סדר עליה לתורה</t>
  </si>
  <si>
    <t>מינוסוטה</t>
  </si>
  <si>
    <t>סדר צום החמישי - כמנהג חב"ד</t>
  </si>
  <si>
    <t>סדר צום החמישי</t>
  </si>
  <si>
    <t>סדר קידוש לשבת עם ביאורים</t>
  </si>
  <si>
    <t>לקט ביאורים</t>
  </si>
  <si>
    <t>סדר קידושין ונישואין - 2 כר'</t>
  </si>
  <si>
    <t>פרקש, מרדכי</t>
  </si>
  <si>
    <t>סדר קרבן פסח ע"פ נוסח בעל התניא, עם תרגום אידיש</t>
  </si>
  <si>
    <t>סדר קרבן פסח</t>
  </si>
  <si>
    <t>סדר קריאת שמע על המיטה עפ"י נוסח האריז"ל</t>
  </si>
  <si>
    <t>גינזבורג, יוסף שמחה (עורך ומבאר)</t>
  </si>
  <si>
    <t>סדר תנאים אירוסין ונישואין</t>
  </si>
  <si>
    <t>סדר תפילות מכל השנה עם פירוש המלות עפ"י דא"ח</t>
  </si>
  <si>
    <t>סדר תפלה על פי נוסח הקדוש האריז"ל &lt;סידור מהרי"ד&gt; - 2 כר'</t>
  </si>
  <si>
    <t>שניאורסון, יצחק דובער בן חיים שניאור זלמן</t>
  </si>
  <si>
    <t>סדר תקוני שבת</t>
  </si>
  <si>
    <t>סוגיות בחסידות</t>
  </si>
  <si>
    <t>סוגיות בחסידות - אחדות ה'</t>
  </si>
  <si>
    <t>סוגיות בעניני משיח וגאולה - א</t>
  </si>
  <si>
    <t>קובץ ועד תלמידי התמימים העולמי</t>
  </si>
  <si>
    <t>סוגיות בתורת החסידות - 3 כר'</t>
  </si>
  <si>
    <t>ממאמרי ושיחות רבותינו נשיאי חב"ד לדורותיהם</t>
  </si>
  <si>
    <t>סוד קדושים</t>
  </si>
  <si>
    <t>תרס"ג</t>
  </si>
  <si>
    <t>סוערות בדממה</t>
  </si>
  <si>
    <t>סידור המפרש תהלת ה'</t>
  </si>
  <si>
    <t>סידור הרב &lt;מהדורת שחזור דפוס ראשון&gt;</t>
  </si>
  <si>
    <t>סידור אדמו"ר בעל התניא</t>
  </si>
  <si>
    <t>תקס"ג</t>
  </si>
  <si>
    <t>שקלוב</t>
  </si>
  <si>
    <t>סידור טעמו וראו</t>
  </si>
  <si>
    <t>עזרן, שי</t>
  </si>
  <si>
    <t>סידור לעם עם תרגום באנגלית</t>
  </si>
  <si>
    <t>נוסח חב"ד עפ"י האריז"ל</t>
  </si>
  <si>
    <t>הונג קונג</t>
  </si>
  <si>
    <t>סידור רבינו הזקן &lt;עם ציונים והערות&gt;</t>
  </si>
  <si>
    <t>שניאור זלמן בן ברוך מלאדי - ראסקין, לוי יצחק</t>
  </si>
  <si>
    <t>סידור רבינו הזקן &lt;טקסט&gt;</t>
  </si>
  <si>
    <t>שניאור שלמן בן ברוך מלאדי</t>
  </si>
  <si>
    <t>סידור תהלת ה' עם תרגום אנגלי</t>
  </si>
  <si>
    <t>סידור תהלת ה' עם תרגום ספרדי</t>
  </si>
  <si>
    <t>סידור תהלת ה' - 2 כר'</t>
  </si>
  <si>
    <t>סידור תורה אור</t>
  </si>
  <si>
    <t>תפילות. סידור.</t>
  </si>
  <si>
    <t>סידור תפלה עם ליקוטי תורה</t>
  </si>
  <si>
    <t>תפילות. סידור. תרע"ב. וילנה</t>
  </si>
  <si>
    <t>סיום והכנסת ספר תורה - מנהגים</t>
  </si>
  <si>
    <t>סיום והכנסת ספר תורה</t>
  </si>
  <si>
    <t>סיומי הרמב"ם</t>
  </si>
  <si>
    <t>קובץ הדרנים ועוד</t>
  </si>
  <si>
    <t>סיכום המשך בשעה שהקדימו תער"ב</t>
  </si>
  <si>
    <t>סיפור אישי - 2 כר'</t>
  </si>
  <si>
    <t>סיפור של חג - 7 כר'</t>
  </si>
  <si>
    <t>סיפורה של שליחות - 2 כר'</t>
  </si>
  <si>
    <t>סיפורי חסידים לנוער - 2 כר'</t>
  </si>
  <si>
    <t>חרותי, רפי</t>
  </si>
  <si>
    <t>סיפורי חסידים - א</t>
  </si>
  <si>
    <t>רסקין, אברהם ישעיהו</t>
  </si>
  <si>
    <t>סיפורי מופת - 5 כר'</t>
  </si>
  <si>
    <t>סיפורי מופתים וקווים לדמותו של הרבי מליובאוויטש</t>
  </si>
  <si>
    <t>מישאל ארי'</t>
  </si>
  <si>
    <t>סיפורי פלא מקוריים</t>
  </si>
  <si>
    <t>מכון חסידות לבני תורה</t>
  </si>
  <si>
    <t>סיפורים חסידיים - 2 כר'</t>
  </si>
  <si>
    <t>סיפורים מבית חב"ד - 2 כר'</t>
  </si>
  <si>
    <t>שמולביץ, יעקב</t>
  </si>
  <si>
    <t>סיפורים מחדר הרבי</t>
  </si>
  <si>
    <t>סיפורים נוראים &lt;מהדורה מחודשת&gt;</t>
  </si>
  <si>
    <t>סיפורים נוראים - 3 כר'</t>
  </si>
  <si>
    <t>תרנ"ד</t>
  </si>
  <si>
    <t>מונקץ' Mukachevo</t>
  </si>
  <si>
    <t>סיפורים שאהבתי לספר - 2 כר'</t>
  </si>
  <si>
    <t>ליצמן, טוביה</t>
  </si>
  <si>
    <t>סיפורים שסיפר הרבי מליובאוויטש והוראות בעבודת ה'</t>
  </si>
  <si>
    <t>הולצמן, לוי יצחק (עורך)</t>
  </si>
  <si>
    <t>סליחות על פי מנהג חב"ד - 2 כר'</t>
  </si>
  <si>
    <t>סליחות</t>
  </si>
  <si>
    <t>סמרקנד</t>
  </si>
  <si>
    <t>סעודה שלישית</t>
  </si>
  <si>
    <t>קוביטשעק, שניאור זלמן</t>
  </si>
  <si>
    <t>סעודת מלוה מלכה רבתי</t>
  </si>
  <si>
    <t>סדר המלוה מלכה</t>
  </si>
  <si>
    <t>ספורי החסידי</t>
  </si>
  <si>
    <t>בלוי, שלום דובער</t>
  </si>
  <si>
    <t>ספורי רשימת היומן</t>
  </si>
  <si>
    <t>מערכת אוצר החסידים</t>
  </si>
  <si>
    <t>ספורים נפלאים</t>
  </si>
  <si>
    <t>ספירת העומר</t>
  </si>
  <si>
    <t>גייקובסון, סימון</t>
  </si>
  <si>
    <t>ספר ג' תמוז</t>
  </si>
  <si>
    <t>ספר הבעש"ט</t>
  </si>
  <si>
    <t>ספר הגור - 2 כר'</t>
  </si>
  <si>
    <t>טריוויש, נפתלי הירץ</t>
  </si>
  <si>
    <t>ספר ההשתטחות</t>
  </si>
  <si>
    <t>ספר ההשטתחות</t>
  </si>
  <si>
    <t>ספר הזכרונות &lt;בלה"ק&gt; - 2 כר'</t>
  </si>
  <si>
    <t>ספר הזכרונות - דברי הימים</t>
  </si>
  <si>
    <t>גורקאוו, מאיר</t>
  </si>
  <si>
    <t>ספר הזכרונות - 2 כר'</t>
  </si>
  <si>
    <t>ספר החקירה</t>
  </si>
  <si>
    <t>ספר היובל קרנות צדי"ק</t>
  </si>
  <si>
    <t>ספר היחידות</t>
  </si>
  <si>
    <t>ספר הליקוטים דא"ח צמח צדק - 25 כר'</t>
  </si>
  <si>
    <t>ספר המאמרים &lt;בתרגום צרפתית&gt;</t>
  </si>
  <si>
    <t>פריס</t>
  </si>
  <si>
    <t>ספר המאמרים &lt;טקסט&gt; - תרפ"ט</t>
  </si>
  <si>
    <t>ספר המאמרים &lt;קונטרסים&gt; - 3 כר'</t>
  </si>
  <si>
    <t>ספר המאמרים &lt;מלוקט&gt; - א</t>
  </si>
  <si>
    <t>ספר המאמרים &lt;טקסט&gt; - המשך תרע"ב</t>
  </si>
  <si>
    <t>ספר המאמרים עם תרגום באנגלית</t>
  </si>
  <si>
    <t>שניאורסון, יוסף יצחק - שניאורסון, מנחם מנדל בן לוי יצחק</t>
  </si>
  <si>
    <t>ספר המאמרים עת"ר</t>
  </si>
  <si>
    <t>שניאורסון, שלום דב בער בן שמואל</t>
  </si>
  <si>
    <t>ספר המאמרים - 20 כר'</t>
  </si>
  <si>
    <t>ספר המאמרים - 23 כר'</t>
  </si>
  <si>
    <t>ספר המאמרים - 30 כר'</t>
  </si>
  <si>
    <t>ספר המנהגים - 2 כר'</t>
  </si>
  <si>
    <t>מלוקט מכת"י נשיאי חב"ד</t>
  </si>
  <si>
    <t>ספר המפתחות  לספרי דא"ח כ"ק אדמור הזקן - ב</t>
  </si>
  <si>
    <t>ספר המפתחות</t>
  </si>
  <si>
    <t>ספר המפתחות &lt;לספרי ומאמרי חסידות&gt;</t>
  </si>
  <si>
    <t>תשכ"ו</t>
  </si>
  <si>
    <t>ספר המפתחות לספרי כ"ק אדמו"ר הצמח צדק - 2 כר'</t>
  </si>
  <si>
    <t>מפתחות</t>
  </si>
  <si>
    <t>ספר המפתחות לספרי כ"ק אדמו"ר מהר"ש</t>
  </si>
  <si>
    <t>ספר המפתחות לתורת לוי יצחק וליקוטי לוי יצחק</t>
  </si>
  <si>
    <t>ספר המצות לרמב"ם מבואר ומנוקד</t>
  </si>
  <si>
    <t>ספר הניגונים - 2 כר'</t>
  </si>
  <si>
    <t>זלמנוב, שמואל (עורך)</t>
  </si>
  <si>
    <t>ספר העצות</t>
  </si>
  <si>
    <t>ספר הערכים חב"ד - 7 כר'</t>
  </si>
  <si>
    <t>ספר הערכים</t>
  </si>
  <si>
    <t>ספר הצאצאים של רבינו שניאור זלמן מליאדי</t>
  </si>
  <si>
    <t>היילפרין, שמואל אליעזר</t>
  </si>
  <si>
    <t>ספר הקיצורים</t>
  </si>
  <si>
    <t>תש"ח</t>
  </si>
  <si>
    <t>ספר הקן</t>
  </si>
  <si>
    <t>ספר השוהם</t>
  </si>
  <si>
    <t>שפירא, אליעזר בן בן-ציון הכהן</t>
  </si>
  <si>
    <t>ספר השיחות בלשון הקודש - ג (תש"ד-תש"ה)</t>
  </si>
  <si>
    <t>שניאורסון, יוסף יצחק בן שלום דוב בר -  - תירגם: גליצנשטיין, אברהם חנוך</t>
  </si>
  <si>
    <t>ספר השיחות בלשון הקודש - 2 כר'</t>
  </si>
  <si>
    <t>שניאורסון, יוסף יצחק בן שלום דוב בר - - תירגם: גליצנשטיין, אברהם חנוך</t>
  </si>
  <si>
    <t>ספר השיחות - 7 כר'</t>
  </si>
  <si>
    <t>ספר השיחות - 10 כר'</t>
  </si>
  <si>
    <t>ספר השלוחים - 4 כר'</t>
  </si>
  <si>
    <t>ספר השליחות - 3 כר'</t>
  </si>
  <si>
    <t>ספר השנה</t>
  </si>
  <si>
    <t>וסרמאן, צ. ז. - טכרב, א.</t>
  </si>
  <si>
    <t>ספר התולדות - 18 כר'</t>
  </si>
  <si>
    <t>גליצנשטיין, אברהם חנוך (עורך)</t>
  </si>
  <si>
    <t>ספר התולדות</t>
  </si>
  <si>
    <t>ספר התכונה למתחיל</t>
  </si>
  <si>
    <t>לאש, יוסף יצחק בן ישראל</t>
  </si>
  <si>
    <t>ספר התמימים - 2 כר'</t>
  </si>
  <si>
    <t>גנזבורג, יצחק (ליקט וערך)</t>
  </si>
  <si>
    <t>ספר התניא - ביבליוגרפיה</t>
  </si>
  <si>
    <t>ספר התניא - 3 כר'</t>
  </si>
  <si>
    <t>ספר זכרון אגלי נוחם</t>
  </si>
  <si>
    <t>ספר זכרון - 2 כר'</t>
  </si>
  <si>
    <t>גורודצקי, בנימין אליהו</t>
  </si>
  <si>
    <t>ספר מגדל דוד - 3 כר'</t>
  </si>
  <si>
    <t>ספר פלפולים זכרון יוסף</t>
  </si>
  <si>
    <t>ספר תהלים אהל יוסף יצחק (השלם)</t>
  </si>
  <si>
    <t>ספר תהלים אהל יוסף יצחק (עם תרגום ספרדית)</t>
  </si>
  <si>
    <t>ספר תהלים אהל יוסף יצחק ע"פ תהלות מנחם</t>
  </si>
  <si>
    <t>ספר תהלים אהל יוסף יצחק עם תרגום צרפתי</t>
  </si>
  <si>
    <t>ספר תהלים אהל יוסף יצחק</t>
  </si>
  <si>
    <t>תנ"ך. תשס"ה. כפר חב"ד</t>
  </si>
  <si>
    <t>ספר תהלים עם תרגום וביאור באנגלית</t>
  </si>
  <si>
    <t>מרכוס, יוסף ב.</t>
  </si>
  <si>
    <t>ספר תהלים קול מנחם עם תרגום אנגלית</t>
  </si>
  <si>
    <t>ספר תהלים קול מנחם</t>
  </si>
  <si>
    <t>ספריית ליובאוויטש &lt;טקסט&gt;</t>
  </si>
  <si>
    <t>ספריית ליובאוויטש</t>
  </si>
  <si>
    <t>ספרים באנגלית - The Money In The Honey</t>
  </si>
  <si>
    <t>ספרים באנגלית - A Guide to the Laws of Pesach</t>
  </si>
  <si>
    <t>ספרים באנגלית - Beacons on the Talmud's Sea</t>
  </si>
  <si>
    <t>- Beacons on the Talmud's Sea</t>
  </si>
  <si>
    <t>ספרים באנגלית - Ki Yishalcha Bincha</t>
  </si>
  <si>
    <t>ספרים באנגלית - 10 כר'</t>
  </si>
  <si>
    <t>ספרים באנגלית - 2 כר'</t>
  </si>
  <si>
    <t>ספרים באנגלית - Luach Colel Chabad 5767</t>
  </si>
  <si>
    <t>ספרים באנגלית - The Educator's Handbook</t>
  </si>
  <si>
    <t>ספרים באנגלית - Chassidic Fables</t>
  </si>
  <si>
    <t>ספרים באנגלית - KEYJEWISH FACTS</t>
  </si>
  <si>
    <t>ספרים באנגלית - 4 כר'</t>
  </si>
  <si>
    <t>ספרים באנגלית - The Arrest and Liberation of Rabbi Shneur Zalman of Liadi</t>
  </si>
  <si>
    <t>ספרים באנגלית - From Shedlitz to Safety</t>
  </si>
  <si>
    <t>ספרים באנגלית - Shabbat Synagogue Companion</t>
  </si>
  <si>
    <t>ספרים באנגלית - Rabbi, Mystic, Leader</t>
  </si>
  <si>
    <t>ספרים באנגלית - A Rabbi's Northern Adventure</t>
  </si>
  <si>
    <t>ספרים באנגלית - Our Man in Dakar</t>
  </si>
  <si>
    <t>ספרים באנגלית - A Tree Full Of Mitzvos</t>
  </si>
  <si>
    <t>ספרים באנגלית - Kovetz Minhagim</t>
  </si>
  <si>
    <t>ספרים באנגלית - Lows and Customs of Chanukah</t>
  </si>
  <si>
    <t>ספרים באנגלית - Seeds of Wisdom</t>
  </si>
  <si>
    <t>ספרים באנגלית - The Founding of SHAMIR</t>
  </si>
  <si>
    <t>ספרים באנגלית - Days in Chabad</t>
  </si>
  <si>
    <t>ספרים באנגלית - A Partner in the Dynamic of Creation</t>
  </si>
  <si>
    <t>ספרים באנגלית - Words to Hear With Your Heart</t>
  </si>
  <si>
    <t>ספרים באנגלית - Forty Centuries</t>
  </si>
  <si>
    <t>ספרים באנגלית - My Father Was a Shliach</t>
  </si>
  <si>
    <t>ספרים באנגלית - 6 כר'</t>
  </si>
  <si>
    <t>ספרים באנגלית - 5 כר'</t>
  </si>
  <si>
    <t>ספרים באנגלית - A Trip To Mezuzah Land</t>
  </si>
  <si>
    <t>ספרים באנגלית - The Chassidic Approach To Joy</t>
  </si>
  <si>
    <t>ספרים באנגלית - The Bat Mitzvah Claub</t>
  </si>
  <si>
    <t>ספרים באנגלית - The Rebbe</t>
  </si>
  <si>
    <t>ספרים באנגלית - 13 כר'</t>
  </si>
  <si>
    <t>ספרים באנגלית - The Rebbetzin</t>
  </si>
  <si>
    <t>ספרים באנגלית - 16 כר'</t>
  </si>
  <si>
    <t>תש"ב - תשמ"ט</t>
  </si>
  <si>
    <t>ספרים באנגלית - Mr. Manchester</t>
  </si>
  <si>
    <t>סין</t>
  </si>
  <si>
    <t>ספרים באנגלית - Link in the Chassidic Legacy</t>
  </si>
  <si>
    <t>ספרים באנגלית - 3 כר'</t>
  </si>
  <si>
    <t>ספרים באנגלית - Think Jewish</t>
  </si>
  <si>
    <t>ספרים באנגלית - Letters of Light</t>
  </si>
  <si>
    <t>ספרים באנגלית - Mikveh</t>
  </si>
  <si>
    <t>- Ritterman, Ze'ev</t>
  </si>
  <si>
    <t>ספרים באנגלית - The Very Best Place For a Penny</t>
  </si>
  <si>
    <t>ספרים באנגלית - Tiny Treasures</t>
  </si>
  <si>
    <t>ספרים באנגלית - A Father to So Many Chassidim</t>
  </si>
  <si>
    <t>ספרים באנגלית - The Best Gall of All</t>
  </si>
  <si>
    <t>ספרים באנגלית - SHLICHUS Outreach Insights</t>
  </si>
  <si>
    <t>ספרים באנגלית - Torah Studies</t>
  </si>
  <si>
    <t>ספרים באנגלית - A Mother in Israel</t>
  </si>
  <si>
    <t>ספרים באנגלית - 7 כר'</t>
  </si>
  <si>
    <t>ספרים באנגלית - Through You, Israel Will Be Blessed</t>
  </si>
  <si>
    <t>ספרים באנגלית - The Rebbe's Haggoda For Youth</t>
  </si>
  <si>
    <t>ספרים באנגלית - Mindy gets her Reward and other Stories</t>
  </si>
  <si>
    <t>ספרים באנגלית - The Chabad - Lubavitch Exhibition</t>
  </si>
  <si>
    <t>ספרים באנגלית - The Rebbes</t>
  </si>
  <si>
    <t>ספרים באנגלית - Hei Teves Didan Notzach</t>
  </si>
  <si>
    <t>ספרים באנגלית - Saturday Night, FULL MOON - 1</t>
  </si>
  <si>
    <t>- Tilles' Yerachmiel Michael</t>
  </si>
  <si>
    <t>ספרים באנגלית - To Touch The Divine</t>
  </si>
  <si>
    <t>ספרים באנגלית - 17 כר'</t>
  </si>
  <si>
    <t>ספרים באנגלית - Please Tell Me What The Rebbe Said - 3</t>
  </si>
  <si>
    <t>ספרים באנגלית - Words of the Living G-D</t>
  </si>
  <si>
    <t>ספרים באנגלית - The Secret of Success</t>
  </si>
  <si>
    <t>ספרים באנגלית - from where i stand</t>
  </si>
  <si>
    <t>ספרים באנגלית - The Reunion</t>
  </si>
  <si>
    <t>ספרים באנגלית - The month of festivals in Lubavitch</t>
  </si>
  <si>
    <t>ספרים באנגלית - Pearls For the SHABBOS Table</t>
  </si>
  <si>
    <t>ספרים באנגלית - Shmirat Hashabat</t>
  </si>
  <si>
    <t>ספרים באנגלית - The BAAL SHEM TOV</t>
  </si>
  <si>
    <t>ספרים באנגלית - The Ambassador to the Holy Land</t>
  </si>
  <si>
    <t>ספרים באנגלית - When Every Moment Is Percious</t>
  </si>
  <si>
    <t>ספרים באנגלית - Tzava'at HaRivash</t>
  </si>
  <si>
    <t>- ישראל בן אליעזר (בעש"ט)</t>
  </si>
  <si>
    <t>ספרים באנגלית - כולנו כאחד</t>
  </si>
  <si>
    <t>ספרים באנגלית - לוח שנת התש"ג</t>
  </si>
  <si>
    <t>- לוח שנת התש"ג</t>
  </si>
  <si>
    <t>ספרים באנגלית - Sefer Haminhagim</t>
  </si>
  <si>
    <t>- מלוקט מכת"י נשיאי חב"ד</t>
  </si>
  <si>
    <t>ספרים באנגלית - Perspectives</t>
  </si>
  <si>
    <t>- מרכז אנ"ש</t>
  </si>
  <si>
    <t>ספרים באנגלית - SAYING TEHILLIM</t>
  </si>
  <si>
    <t>ספרים באנגלית - A LIGHT UNTO MY PATH</t>
  </si>
  <si>
    <t>ספרים באנגלית - The Educator's Privilege</t>
  </si>
  <si>
    <t>ספרים באנגלית - מאמר להבין ענין ראש חודש תר"מ</t>
  </si>
  <si>
    <t>ספרים באנגלית - 15 כר'</t>
  </si>
  <si>
    <t>ספרים באנגלית - S'efer Ha  si'hot</t>
  </si>
  <si>
    <t>ספרים באנגלית - 28 כר'</t>
  </si>
  <si>
    <t>ספרים באנגלית - 8 כר'</t>
  </si>
  <si>
    <t>ספרים באנגלית - מצות אהבת ישראל</t>
  </si>
  <si>
    <t>ספרים באנגלית - 9 כר'</t>
  </si>
  <si>
    <t>ספרים באנגלית - I Await His Coming Every Day</t>
  </si>
  <si>
    <t>ספרים באנגלית - 34 כר'</t>
  </si>
  <si>
    <t>-</t>
  </si>
  <si>
    <t>ספרים בספרדית - בנתיבות הנצח</t>
  </si>
  <si>
    <t>- טבצ'ניק, דוד</t>
  </si>
  <si>
    <t>ספרים בספרדית - Nostros en el TIEMPO</t>
  </si>
  <si>
    <t>ספרים בספרדית - 2 כר'</t>
  </si>
  <si>
    <t>- משה בן מימון (רמב"ם)</t>
  </si>
  <si>
    <t>ספרים בצרפתית - Deux Ames Juives</t>
  </si>
  <si>
    <t>-  Dr. Lehmann' Mrcus</t>
  </si>
  <si>
    <t>ספרים בצרפתית - Pirke Avot</t>
  </si>
  <si>
    <t>ספרים בצרפתית - SAGESSE AU QUOTIDIEN</t>
  </si>
  <si>
    <t>ספרים בצרפתית - TICHRI</t>
  </si>
  <si>
    <t>ספרים בצרפתית - LECONS DE TANYA</t>
  </si>
  <si>
    <t>ספרים בצרפתית - 6 כר'</t>
  </si>
  <si>
    <t>ספרים בצרפתית - 8 כר'</t>
  </si>
  <si>
    <t>ספרים בצרפתית - אגרות קודש ב</t>
  </si>
  <si>
    <t>ספרים ברוסית - 2 כר'</t>
  </si>
  <si>
    <t>ספרים ברוסית - הסטוריה של העם היהודי</t>
  </si>
  <si>
    <t>ספרים ברוסית - הרמב"ם</t>
  </si>
  <si>
    <t>ספרים ברוסית - שיחות על התורה מעובדות לילדים</t>
  </si>
  <si>
    <t>דונייצק</t>
  </si>
  <si>
    <t>ספרים ברוסית - ביום הולדתך</t>
  </si>
  <si>
    <t>אוקראינה</t>
  </si>
  <si>
    <t>ספרים ברוסית - ואני תפילתי</t>
  </si>
  <si>
    <t>ספרים ברוסית - עונג שבת עם חב"ד</t>
  </si>
  <si>
    <t>- מכון חמ"ש</t>
  </si>
  <si>
    <t>ספרים ברוסית -</t>
  </si>
  <si>
    <t>ספרים ברוסית - הגדה של פסח</t>
  </si>
  <si>
    <t>- על פי מנהגי חב"ד</t>
  </si>
  <si>
    <t>ספרים ברוסית - ליקוטי אמרים תניא (עם תרגום רוסי)</t>
  </si>
  <si>
    <t>ספרים ברוסית - ומעיין מבין ה' עם תרגום ברוסית</t>
  </si>
  <si>
    <t>ספרים ברוסית - 29 כר'</t>
  </si>
  <si>
    <t>ספרנו - ב</t>
  </si>
  <si>
    <t>וסרמן, צ.ז. - טכרב, א</t>
  </si>
  <si>
    <t>עבד אברהם אנכי</t>
  </si>
  <si>
    <t>עבד מלך</t>
  </si>
  <si>
    <t>עבדות או שליחות</t>
  </si>
  <si>
    <t>כהן, נדב - ברק, גיל</t>
  </si>
  <si>
    <t>עבודת הלוי - א (בראשית, שמות, ויקרא, הפטרות)</t>
  </si>
  <si>
    <t>הורוויץ, אהרן בן משה הלוי</t>
  </si>
  <si>
    <t>תר"ב - תרכ"ו</t>
  </si>
  <si>
    <t>לבוב Lvov</t>
  </si>
  <si>
    <t>עבודת הקודש אצל הרבי מליובאוויטש</t>
  </si>
  <si>
    <t>עבודת התפילה</t>
  </si>
  <si>
    <t>ו</t>
  </si>
  <si>
    <t>עבודת ישראל</t>
  </si>
  <si>
    <t>ברונפמן, ישראל</t>
  </si>
  <si>
    <t>עבודת תיקון המידות</t>
  </si>
  <si>
    <t>גופין, שמעון</t>
  </si>
  <si>
    <t>עדת צדיקים</t>
  </si>
  <si>
    <t>רודקינזון, מיכאל לוי בן אלכסנדר</t>
  </si>
  <si>
    <t>תר"ס</t>
  </si>
  <si>
    <t>עוד אבינו חי</t>
  </si>
  <si>
    <t>וויסקונסין</t>
  </si>
  <si>
    <t>עוד יוסף חי</t>
  </si>
  <si>
    <t>עולם הרפואה במשנתו של הרבי מליובאוויטש</t>
  </si>
  <si>
    <t>שניאורסון, מנחם מנדל בן לוי יצחק - הרמן, מנחם (עורך)</t>
  </si>
  <si>
    <t>עולם ומלואו</t>
  </si>
  <si>
    <t>חמ"ד;</t>
  </si>
  <si>
    <t>עולם של יצירה</t>
  </si>
  <si>
    <t>עומק הפשט עיונים ברש"י ע"פ ליקוטי שיחות - 2 כר'</t>
  </si>
  <si>
    <t>עושה אידישקייט</t>
  </si>
  <si>
    <t>עטרת המלך - 2 כר'</t>
  </si>
  <si>
    <t>עטרת חיה</t>
  </si>
  <si>
    <t>עטרת חכמים</t>
  </si>
  <si>
    <t>עטרת לוי יצחק</t>
  </si>
  <si>
    <t>תלמידים השלוחים מלבורן</t>
  </si>
  <si>
    <t>עטרת מלך</t>
  </si>
  <si>
    <t>עטרת מלכות</t>
  </si>
  <si>
    <t>עטרת צבי</t>
  </si>
  <si>
    <t>שפאלטר, שלום</t>
  </si>
  <si>
    <t>עטרת ראש - 2 כר'</t>
  </si>
  <si>
    <t>עיון סופרים - א</t>
  </si>
  <si>
    <t>מכון לעניני סת"ם</t>
  </si>
  <si>
    <t>עיון תפלה</t>
  </si>
  <si>
    <t>שניאורי, דוב בר בן שניאור זלמן. מיוחס ל</t>
  </si>
  <si>
    <t>תרס"ד</t>
  </si>
  <si>
    <t>עיוני תורה - 5 כר'</t>
  </si>
  <si>
    <t>תשמ"א - תשמ"ג</t>
  </si>
  <si>
    <t>עיונים בתורת ארץ ישראל ובית הבחירה</t>
  </si>
  <si>
    <t>עיונים וביאורים במגילת אסתר</t>
  </si>
  <si>
    <t>עיונים וביאורים - א</t>
  </si>
  <si>
    <t>קובץ ישיבת אהל משה, קונגו הדמוקרטית</t>
  </si>
  <si>
    <t>קונטיקט</t>
  </si>
  <si>
    <t>עיונים והערות ברשימות קודש - א</t>
  </si>
  <si>
    <t>עיקרי החשבונות</t>
  </si>
  <si>
    <t>אייזנבך, שמעון בן ציון</t>
  </si>
  <si>
    <t>עיקרי הלכות מוקצה</t>
  </si>
  <si>
    <t>הלפרין, יוסף</t>
  </si>
  <si>
    <t>עיר וקדיש</t>
  </si>
  <si>
    <t>ברוקמאן, מרדכי בן מנחם שמעון</t>
  </si>
  <si>
    <t>תרצ"א</t>
  </si>
  <si>
    <t>על אבותינו ועל יחוסם</t>
  </si>
  <si>
    <t>מרינובסקי, חיים עוזר</t>
  </si>
  <si>
    <t>על הגיור כהלכה</t>
  </si>
  <si>
    <t>על הכוונת</t>
  </si>
  <si>
    <t>על הצדיקים - 2 כר'</t>
  </si>
  <si>
    <t>פעווזנער, אברהם ברוך בן הלל</t>
  </si>
  <si>
    <t>על הרי הגליל</t>
  </si>
  <si>
    <t>על חטא העיגול</t>
  </si>
  <si>
    <t>על חסידות חב"ד והיהדות</t>
  </si>
  <si>
    <t>צעירי חב"ד</t>
  </si>
  <si>
    <t>על חסידות חב"ד</t>
  </si>
  <si>
    <t>צעירי אגודת חב"ד באה"ק</t>
  </si>
  <si>
    <t>על כולנה</t>
  </si>
  <si>
    <t>על מנהגים ומקורותיהם</t>
  </si>
  <si>
    <t>על ספר זכרון ירושלים</t>
  </si>
  <si>
    <t>מלמד כהן רחמים</t>
  </si>
  <si>
    <t>על פרשת דרכים</t>
  </si>
  <si>
    <t>על קדוש השם</t>
  </si>
  <si>
    <t>עלי כבוד</t>
  </si>
  <si>
    <t>עמדו הכן כולכם - 8 כר'</t>
  </si>
  <si>
    <t>עמדו הכן</t>
  </si>
  <si>
    <t>ענינו של תלמיד בתומכי תמימים</t>
  </si>
  <si>
    <t>ועדת החינוך שע"י כפר חב"ד</t>
  </si>
  <si>
    <t>ענינו של תמים - 2 כר'</t>
  </si>
  <si>
    <t>עניני חופה</t>
  </si>
  <si>
    <t>עסקנות ציבורית</t>
  </si>
  <si>
    <t>מערכת ימי תמימים</t>
  </si>
  <si>
    <t>עץ החיים</t>
  </si>
  <si>
    <t>עצה סגולה וברכה</t>
  </si>
  <si>
    <t>רמת השרון</t>
  </si>
  <si>
    <t>עצות והדרכות בעבודת ה'</t>
  </si>
  <si>
    <t>עצות וסגולות לחיים טובים ומאושרים</t>
  </si>
  <si>
    <t>עצת הרבי תנחני</t>
  </si>
  <si>
    <t>קלמס, פנחס מאיר בן יעקב</t>
  </si>
  <si>
    <t>פאר המלך</t>
  </si>
  <si>
    <t>פאר לוי יצחק</t>
  </si>
  <si>
    <t>פאר מקדושים</t>
  </si>
  <si>
    <t>בודק, מנחם מנדל בן ראובן שרגא</t>
  </si>
  <si>
    <t>תרפ"</t>
  </si>
  <si>
    <t>פארברענגן עם הרבי - י"ב תמוז תשמ"ה</t>
  </si>
  <si>
    <t>פארברענגען עם הרבי - 17 כר'</t>
  </si>
  <si>
    <t>פארברענגען - 2 כר'</t>
  </si>
  <si>
    <t>פדה בשלום</t>
  </si>
  <si>
    <t>פועלי דיממא אנן</t>
  </si>
  <si>
    <t>פוקח עורים עם ביאור עמוד אש</t>
  </si>
  <si>
    <t>שניאורי, דוב בר בן שניאור זלמן - יודייקין, שמואל יצחק גד הכהן</t>
  </si>
  <si>
    <t>פוקח עורים - 2 כר'</t>
  </si>
  <si>
    <t>ת"ש</t>
  </si>
  <si>
    <t>פורים חסידי</t>
  </si>
  <si>
    <t>איגוד השלוחים</t>
  </si>
  <si>
    <t>פורים - ענייני דיומא</t>
  </si>
  <si>
    <t>קפלן, יצחק</t>
  </si>
  <si>
    <t>פיטטיא דאורייתא</t>
  </si>
  <si>
    <t>נאטיק, שלום דובער</t>
  </si>
  <si>
    <t>פיצוח הקוד השמימי</t>
  </si>
  <si>
    <t>מרילוס, ישראל</t>
  </si>
  <si>
    <t>פיקוח נפש דוחה פוליטיקה</t>
  </si>
  <si>
    <t>עמותת פיקוח נפש</t>
  </si>
  <si>
    <t>פירוש המלות &lt;טקסט&gt;</t>
  </si>
  <si>
    <t>פירוש המלות - 2 כר'</t>
  </si>
  <si>
    <t>פירושים וביאורים מפרדס התורה</t>
  </si>
  <si>
    <t>פירושים להגדה של פסח</t>
  </si>
  <si>
    <t>פלא הדורות</t>
  </si>
  <si>
    <t>פלח הרמון - 6 כר'</t>
  </si>
  <si>
    <t>תרמ"ז</t>
  </si>
  <si>
    <t>פלפול התלמידים &lt;לונדון&gt;</t>
  </si>
  <si>
    <t>פלפול התלמידים &lt;סיאטעל&gt; - 8 כר'</t>
  </si>
  <si>
    <t>ושינגטון</t>
  </si>
  <si>
    <t>פלפול התלמידים (סינסינעטי אהייא) - ב</t>
  </si>
  <si>
    <t>פלפול התלמידים - יו"ד שבט תשע"ח</t>
  </si>
  <si>
    <t>מתיבתא מנחם</t>
  </si>
  <si>
    <t>פלפול התלמידים - 14 כר'</t>
  </si>
  <si>
    <t>קובץ (מזכירות כ"ק אדמו"ר שליט"א)</t>
  </si>
  <si>
    <t>פלפול התלמידים - 22 כר'</t>
  </si>
  <si>
    <t>פלפול התמימים - 21 כר'</t>
  </si>
  <si>
    <t>פלפול נאה לבר המצוה</t>
  </si>
  <si>
    <t>פלפולא דאורייתא - 2 כר'</t>
  </si>
  <si>
    <t>כולל נחלת הר חב"ד</t>
  </si>
  <si>
    <t>פלפולי וביאורי חברת המתמידים</t>
  </si>
  <si>
    <t>פלפולי תורה מגדל דוד</t>
  </si>
  <si>
    <t>פני משה</t>
  </si>
  <si>
    <t>ליברמן, חיים משה בן יעקב (המאסף)</t>
  </si>
  <si>
    <t>פניני אברהם אליהו</t>
  </si>
  <si>
    <t>פניני אור - א</t>
  </si>
  <si>
    <t>ווילהעלם, נחמן בן אברהם דוד</t>
  </si>
  <si>
    <t>סנט פאולו</t>
  </si>
  <si>
    <t>פניני הכתר - 3 כר'</t>
  </si>
  <si>
    <t>פניני השבת</t>
  </si>
  <si>
    <t>הכהן, נועם שמעון</t>
  </si>
  <si>
    <t>אושן סיטי מרילנד</t>
  </si>
  <si>
    <t>פניני התניא</t>
  </si>
  <si>
    <t>פניני לוי יצחק - 2 כר'</t>
  </si>
  <si>
    <t>פניני מנחם - 3 כר'</t>
  </si>
  <si>
    <t>פניני תורה - 2 כר'</t>
  </si>
  <si>
    <t>דייטש, שניאור זלמן (ערך וליקט)</t>
  </si>
  <si>
    <t>פניני תורה - א</t>
  </si>
  <si>
    <t>פנינים על התורה והמועדים</t>
  </si>
  <si>
    <t>בארא פארק</t>
  </si>
  <si>
    <t>פנסים</t>
  </si>
  <si>
    <t>אנדר, מוני</t>
  </si>
  <si>
    <t>פסוק לי פסוקך</t>
  </si>
  <si>
    <t>קניג, חיים צבי</t>
  </si>
  <si>
    <t>פסח חסידי - 4 כר'</t>
  </si>
  <si>
    <t>פסח כהלכתו - הגדה של פסח עם מדריך הלכתי</t>
  </si>
  <si>
    <t>פסח שני</t>
  </si>
  <si>
    <t>פסח - יוצאים לחירות</t>
  </si>
  <si>
    <t>פסיפס</t>
  </si>
  <si>
    <t>פסקי אדמו"ר האמצעי - גיטין פ"א</t>
  </si>
  <si>
    <t>קעלער, יוסף יצחק (עורך)</t>
  </si>
  <si>
    <t>פסקי אדמו"ר הזקן בהלכות איסור והיתר - 2 כר'</t>
  </si>
  <si>
    <t>קפלן, אריה ליב - קפלן, מנחם מנדל</t>
  </si>
  <si>
    <t>פסקי אדמו"ר הזקן - מסכת שבת א</t>
  </si>
  <si>
    <t>פסקי דינים בהלכות סת"ם</t>
  </si>
  <si>
    <t>דווארקין, זלמן שמעון</t>
  </si>
  <si>
    <t>פסקי דינים - יו"ד אה"ע</t>
  </si>
  <si>
    <t>פסקי הסידור</t>
  </si>
  <si>
    <t>נאה, אברהם חיים בן מנחם מנדל</t>
  </si>
  <si>
    <t>תרצ"ז</t>
  </si>
  <si>
    <t>פסקי הרב</t>
  </si>
  <si>
    <t>בוגרד, אפרים</t>
  </si>
  <si>
    <t>פסקי פרי מגדים</t>
  </si>
  <si>
    <t>לאווט, אברהם דוד בן יהודה ליב</t>
  </si>
  <si>
    <t>פעמי יעקב - 44 כר'</t>
  </si>
  <si>
    <t>פרד"ס שלום - 2 כר'</t>
  </si>
  <si>
    <t>פרדס התמים - א</t>
  </si>
  <si>
    <t>פרדס חב"ד - 18 כר'</t>
  </si>
  <si>
    <t>בטאון למחשבת חב"ד</t>
  </si>
  <si>
    <t>פרופסור גרין שלום וברכה</t>
  </si>
  <si>
    <t>גרין, וועלוועל</t>
  </si>
  <si>
    <t>פרחי השלוחים</t>
  </si>
  <si>
    <t>פרחי התמימים - א</t>
  </si>
  <si>
    <t>קובץ (חולון)</t>
  </si>
  <si>
    <t>קובץ (לוד)</t>
  </si>
  <si>
    <t>פרחי התמימים - 14 כר'</t>
  </si>
  <si>
    <t>קובץ (מוריסטאון)</t>
  </si>
  <si>
    <t>פרי ביכורי התמימים - 2 כר'</t>
  </si>
  <si>
    <t>פרק תענוג - מתוך ספר משנת חב"ד</t>
  </si>
  <si>
    <t>מילר, משה ליב</t>
  </si>
  <si>
    <t>פרקי יומן</t>
  </si>
  <si>
    <t>גורביץ, יששכר דוב בער הלוי</t>
  </si>
  <si>
    <t>פרקי תשובה וגאולה</t>
  </si>
  <si>
    <t>זאהן, שלום שכנא בן חיים יצחק יעקב</t>
  </si>
  <si>
    <t>פרקים על כ"ק אדמו"ר שליט"א</t>
  </si>
  <si>
    <t>רשת אהלי יוסף יצחק</t>
  </si>
  <si>
    <t>פרשה באהבה - 2 כר'</t>
  </si>
  <si>
    <t>שניאורסון, מירי</t>
  </si>
  <si>
    <t>פרשיות עם הרבי - 5 כר'</t>
  </si>
  <si>
    <t>פשוטו של מקרא - 2 כר'</t>
  </si>
  <si>
    <t>זאיאנץ, אברהם שמואל בן ישראל</t>
  </si>
  <si>
    <t>פתגמי הבעש"ט</t>
  </si>
  <si>
    <t>ליקוט פתגמים ותורות מהבעש"ט</t>
  </si>
  <si>
    <t>פתגמי הרבי</t>
  </si>
  <si>
    <t>פתגמין קדישין</t>
  </si>
  <si>
    <t>יהושע אברהם בן ישראל</t>
  </si>
  <si>
    <t>פתיחה - ביקורי רבותינו במאריסטאון</t>
  </si>
  <si>
    <t>פתיחה</t>
  </si>
  <si>
    <t>פתקים משלחנו של הרבי - 2 כר'</t>
  </si>
  <si>
    <t>צ"ח ניצוצי אור</t>
  </si>
  <si>
    <t>צדי"ק למלך - 7 כר'</t>
  </si>
  <si>
    <t>צדיק הדור מנחיל אמונה</t>
  </si>
  <si>
    <t>צדיק יסוד עולם</t>
  </si>
  <si>
    <t>צדיקים וידידים</t>
  </si>
  <si>
    <t>גור אריה, אליהו יוחנן בן נתן</t>
  </si>
  <si>
    <t>צדיקים למופת - 2 כר'</t>
  </si>
  <si>
    <t>צדקת ישראל - א</t>
  </si>
  <si>
    <t>צדקתו עומדת לעד</t>
  </si>
  <si>
    <t>מטוסוב, אליהו - מונדשיין, יהושע</t>
  </si>
  <si>
    <t>צוהר לתיבה</t>
  </si>
  <si>
    <t>חסן, חנן</t>
  </si>
  <si>
    <t>צוואת הריב"ש</t>
  </si>
  <si>
    <t>צוואת ריב"ש (בתרגום אנגלית)</t>
  </si>
  <si>
    <t>צוואת ריב"ש והנהגות ישרות - 4 כר'</t>
  </si>
  <si>
    <t>צ'רנוביץ Chernovtsy</t>
  </si>
  <si>
    <t>צום פינף און פערציג יעהריגען יובילעאום</t>
  </si>
  <si>
    <t>צורת הבית - עפ"י שיטת הרמב"ם</t>
  </si>
  <si>
    <t>ציון לנפש חיה - ד</t>
  </si>
  <si>
    <t>ציון לנפש</t>
  </si>
  <si>
    <t>סילבערבערג, אלימלך יוסף בן דוב בער הכהן</t>
  </si>
  <si>
    <t>ציונים לספר משנה תורה</t>
  </si>
  <si>
    <t>ציור פני הרב</t>
  </si>
  <si>
    <t>צילומי כתי"ק הקשורים להמשך יו"ט של ר"ה תרס"ו</t>
  </si>
  <si>
    <t>ציצית - הלכה למעשה</t>
  </si>
  <si>
    <t>צמאה לך נפשי - מבחר שירי מסורת &lt;עם תוים&gt;</t>
  </si>
  <si>
    <t>שירי מסורת</t>
  </si>
  <si>
    <t>צמח צדק שו"ת &lt;טקסט&gt;</t>
  </si>
  <si>
    <t>צמח צדק - 24 כר'</t>
  </si>
  <si>
    <t>תרל"ח</t>
  </si>
  <si>
    <t>צמח צדק, ספר השיחות</t>
  </si>
  <si>
    <t>ברוד, מנחם מענדל הלוי: עורך</t>
  </si>
  <si>
    <t>צעקת המלך - 2 כר'</t>
  </si>
  <si>
    <t>צפית לישועה</t>
  </si>
  <si>
    <t>ליבוביץ, חיים יעקב בן ברוך מרדכי יהודא</t>
  </si>
  <si>
    <t>צפת עיר הקודש</t>
  </si>
  <si>
    <t>צרפת פרצת - 17 כר'</t>
  </si>
  <si>
    <t>ברונו צרפת</t>
  </si>
  <si>
    <t>קאר א וועלט</t>
  </si>
  <si>
    <t>קב נקי</t>
  </si>
  <si>
    <t>קבלה היא בידך</t>
  </si>
  <si>
    <t>קבלו מלכותי</t>
  </si>
  <si>
    <t>קבלת פני משיח צדקנו</t>
  </si>
  <si>
    <t>קבלת פנים</t>
  </si>
  <si>
    <t>קבצים של תשרי - 2 כר'</t>
  </si>
  <si>
    <t>קדוש ותפלות - ראש השנה, שמחת תורה</t>
  </si>
  <si>
    <t>קדושת המקדש</t>
  </si>
  <si>
    <t>קדמונך תחילה - ימי הסליחות</t>
  </si>
  <si>
    <t>קובץ אב מלך</t>
  </si>
  <si>
    <t>ישיבת ת"ת נתניה</t>
  </si>
  <si>
    <t>קובץ אור המגדל - א</t>
  </si>
  <si>
    <t>קובץ אור וחיות נפשנו</t>
  </si>
  <si>
    <t>קובץ אני לדודי - 2 כר'</t>
  </si>
  <si>
    <t>קובץ אשל אברהם</t>
  </si>
  <si>
    <t>קובץ ב' אייר תשנ"ה - סיום אמירת קדיש</t>
  </si>
  <si>
    <t>קובץ בדידי הוה עובדא - 2 כר'</t>
  </si>
  <si>
    <t>קובץ ביאורי סוגיות בתורת רבינו</t>
  </si>
  <si>
    <t>קובץ ביאורים והערות - 2 כר'</t>
  </si>
  <si>
    <t>אנשי כפר חב"ד</t>
  </si>
  <si>
    <t>קובץ בין המצרים</t>
  </si>
  <si>
    <t>קובץ בית ישראל</t>
  </si>
  <si>
    <t>קובץ בני מעמד</t>
  </si>
  <si>
    <t>קובץ דברי תורה - 6 כר'</t>
  </si>
  <si>
    <t>ישיבה גדולה דניו הייווען</t>
  </si>
  <si>
    <t>ניו הייווען</t>
  </si>
  <si>
    <t>קובץ דברי תורה - 4 כר'</t>
  </si>
  <si>
    <t>ישיבה גדולה ליובאוויטש לונדון</t>
  </si>
  <si>
    <t>קובץ דברי תורה - 2 כר'</t>
  </si>
  <si>
    <t>ישיבת תומכי תמימים קרית גת</t>
  </si>
  <si>
    <t>כולל אברכים חב"ד צפת</t>
  </si>
  <si>
    <t>קובץ דברי תורה - 5 כר'</t>
  </si>
  <si>
    <t>כולל אברכים ליובאוויטש כפר חב"ד</t>
  </si>
  <si>
    <t>קובץ דברי תורה - 13 כר'</t>
  </si>
  <si>
    <t>כולל אברכים שע"י מזכירות כ"ק אדמו"ר</t>
  </si>
  <si>
    <t>קובץ דברי תורה</t>
  </si>
  <si>
    <t>כולל צמח צדק צפת</t>
  </si>
  <si>
    <t>קובץ דברי תורה - 3 כר'</t>
  </si>
  <si>
    <t>כולל תומכי תמימים נחלת הר חב"ד</t>
  </si>
  <si>
    <t>קובץ דברי תורה -</t>
  </si>
  <si>
    <t>קובץ דידן נצח - 4 כר'</t>
  </si>
  <si>
    <t>קובץ דידן נצח</t>
  </si>
  <si>
    <t>קובץ דרך המלך - א (שנה לב)</t>
  </si>
  <si>
    <t>קובץ ישיבה גדולה לונדון</t>
  </si>
  <si>
    <t>קובץ ה' טבת - שלשים שנה</t>
  </si>
  <si>
    <t>קובץ ה' טבת</t>
  </si>
  <si>
    <t>קובץ הארבעים</t>
  </si>
  <si>
    <t>קובץ הארות והערות במסכת גיטין</t>
  </si>
  <si>
    <t>קובץ תומכי תמימים</t>
  </si>
  <si>
    <t>קובץ הדרת מלך</t>
  </si>
  <si>
    <t>קובץ הוספות מנהגים והערות לספר המנהגים</t>
  </si>
  <si>
    <t>הוספות לספר המנהגים</t>
  </si>
  <si>
    <t>קובץ הוראות</t>
  </si>
  <si>
    <t>מלוב, יחיאל (ערך וליקט)</t>
  </si>
  <si>
    <t>קובץ החמישים - עוז למלך</t>
  </si>
  <si>
    <t>קובץ היובל - 2 כר'</t>
  </si>
  <si>
    <t>קובץ הכנה י"א ניסן שנת הק"י - 2 כר'</t>
  </si>
  <si>
    <t>קובץ הכנה י"א ניסן שנת הקט"ז</t>
  </si>
  <si>
    <t>קובץ הכנה י"א ניסן - 2 כר'</t>
  </si>
  <si>
    <t>קובץ הלכות פורים - תשע"ח</t>
  </si>
  <si>
    <t>קובץ הלכות פסח - תשע"ח</t>
  </si>
  <si>
    <t>קובץ המאה ועשר</t>
  </si>
  <si>
    <t>קובץ המשפיעים</t>
  </si>
  <si>
    <t>קובץ הערות (בוסטון) - א-ה</t>
  </si>
  <si>
    <t>תשמ"ח - תש"נ</t>
  </si>
  <si>
    <t>קובץ הערות במאמרי כ"ק אדמו"ר - תשמ"ט</t>
  </si>
  <si>
    <t>קובץ הערות</t>
  </si>
  <si>
    <t>קובץ הערות בנגלה ובדא"ח - א</t>
  </si>
  <si>
    <t>קובץ הערות וביאורים (חובבי תורה) - שנה כ' א (ד)</t>
  </si>
  <si>
    <t>קובץ הערות וביאורים (מנצ'סתר) - לב</t>
  </si>
  <si>
    <t>מנצ'סטר</t>
  </si>
  <si>
    <t>קובץ הערות וביאורים - (דטרויט,מישיגן) טז</t>
  </si>
  <si>
    <t>קובץ הערות וביאורים - יו"ד שבט</t>
  </si>
  <si>
    <t>קובץ הערות וביאורים - 2 כר'</t>
  </si>
  <si>
    <t>ישיבת ליובאוויטש מנשסתר</t>
  </si>
  <si>
    <t>מנשסתר</t>
  </si>
  <si>
    <t>קובץ הערות וביאורים - 633 כר'</t>
  </si>
  <si>
    <t>קובץ ישיבת ליובאוויטש מנשסטר</t>
  </si>
  <si>
    <t>קובץ הערות וביאורים - 22 כר'</t>
  </si>
  <si>
    <t>קובץ הערות וביאורים - 3 כר'</t>
  </si>
  <si>
    <t>קובץ הערות ועיונים - 6 כר'</t>
  </si>
  <si>
    <t>קובץ הערות ופלפולים</t>
  </si>
  <si>
    <t>קובץ ישיבת תפארת יצחק</t>
  </si>
  <si>
    <t>קובץ הפך בה והפך בה</t>
  </si>
  <si>
    <t>קובץ הקהל</t>
  </si>
  <si>
    <t>קובץ השישים</t>
  </si>
  <si>
    <t>קובץ חב"ד</t>
  </si>
  <si>
    <t>קובץ השלוחים</t>
  </si>
  <si>
    <t>קובץ השליחות - מבצע עבודת השליחות</t>
  </si>
  <si>
    <t>קובץ התקשרות</t>
  </si>
  <si>
    <t>קובץ ו' תשרי</t>
  </si>
  <si>
    <t>קובץ ובחודש השביעי</t>
  </si>
  <si>
    <t>קובץ והיה מחנך קדוש</t>
  </si>
  <si>
    <t>קובץ ולדבקה בו</t>
  </si>
  <si>
    <t>קובץ זכרון לר' אהרן יהודה חיטריק זצ"ל</t>
  </si>
  <si>
    <t>קובץ זכרון</t>
  </si>
  <si>
    <t>קובץ זכרון לרב אהרן חיטריק</t>
  </si>
  <si>
    <t>קובץ זכרון עשרה מאמרות</t>
  </si>
  <si>
    <t>לזכר הרה"ח יהושע מונדשיין ז"ל</t>
  </si>
  <si>
    <t>צויבל, אלימלך בן צבי יעקב</t>
  </si>
  <si>
    <t>ראטענשטרייך, יעקב זאב</t>
  </si>
  <si>
    <t>קובץ חידושי תורה (כרמיאל)</t>
  </si>
  <si>
    <t>כרמיאל</t>
  </si>
  <si>
    <t>קובץ חידושי תורה זכרון גרשון</t>
  </si>
  <si>
    <t>קובץ חידושי תורה על ספר משנה תורה</t>
  </si>
  <si>
    <t>בת ים</t>
  </si>
  <si>
    <t>הישיבה והמתיבתא המרכזית תומכי תמימים ליובאוויטש. ברוקלין</t>
  </si>
  <si>
    <t>קובץ חידושי תורה - א</t>
  </si>
  <si>
    <t>קובץ חידושי תורה - 44 כר'</t>
  </si>
  <si>
    <t>קובץ חידושים ובאורים - 3 כר'</t>
  </si>
  <si>
    <t>קובץ חידושים וביאורים תורת אמת - 2 כר'</t>
  </si>
  <si>
    <t>ישיבה גדולה תורת אמת</t>
  </si>
  <si>
    <t>קובץ חידושים וביאורים - 2 כר'</t>
  </si>
  <si>
    <t>קובץ חידושים והערות - ישיבת תורת אמת</t>
  </si>
  <si>
    <t>קובץ י"א ניסן - 11 כר'</t>
  </si>
  <si>
    <t>קובץ י"ג אייר - 2 כר'</t>
  </si>
  <si>
    <t>קובץ י"ד כסלו</t>
  </si>
  <si>
    <t>קובץ יגיעה בתורה - 2 כר'</t>
  </si>
  <si>
    <t>קובץ יום ההילולא ג' תמוז</t>
  </si>
  <si>
    <t>קובץ יום ההילולא</t>
  </si>
  <si>
    <t>קובץ יום הולדת</t>
  </si>
  <si>
    <t>קובץ כ"ב שבט - 2 כר'</t>
  </si>
  <si>
    <t>קובץ כ"ח סיון</t>
  </si>
  <si>
    <t>קובץ כ"ף מנחם אב - 2 כר'</t>
  </si>
  <si>
    <t>לקט מכתבים</t>
  </si>
  <si>
    <t>קובץ כבוד תורה</t>
  </si>
  <si>
    <t>קובץ כינוסי השלוחים - 3 כר'</t>
  </si>
  <si>
    <t>איגוד השלוחים באה"ק</t>
  </si>
  <si>
    <t>קובץ ל"ג בעומר</t>
  </si>
  <si>
    <t>מירון</t>
  </si>
  <si>
    <t>קובץ להעלות נר תמיד - סד</t>
  </si>
  <si>
    <t>קובץ לחג השבועות</t>
  </si>
  <si>
    <t>קובץ לחיזוק ההתקשרות - 46 כר'</t>
  </si>
  <si>
    <t>קובץ ליובאוויטש - כל החלקים</t>
  </si>
  <si>
    <t>קובץ ליובאוויטש</t>
  </si>
  <si>
    <t>קובץ ליובאוויטש - יד</t>
  </si>
  <si>
    <t>תשט"ז - תשי"ז</t>
  </si>
  <si>
    <t>קובץ לימוד ימים הסמוכים לכ מנחם אב</t>
  </si>
  <si>
    <t>הנהלת רשת אהלי יוסף יצחק</t>
  </si>
  <si>
    <t>קובץ לימוד מתנה לרבי</t>
  </si>
  <si>
    <t>קובץ לימוד - שבת הכנה לג' תמוז</t>
  </si>
  <si>
    <t>קובץ לימוד - אייר-מנחם אב תשע"ח</t>
  </si>
  <si>
    <t>מרכז חמ"ש</t>
  </si>
  <si>
    <t>קובץ לימוד - 34 כר'</t>
  </si>
  <si>
    <t>רשת ישיבות בין הזמנים</t>
  </si>
  <si>
    <t>קובץ ליקוטי דינים - 2 כר'</t>
  </si>
  <si>
    <t>גרינגלאז, מנחם זאב הלוי</t>
  </si>
  <si>
    <t>New York ניו יורק</t>
  </si>
  <si>
    <t>קובץ לרגל יום הגדול יו"ד שבט</t>
  </si>
  <si>
    <t>קובץ לרגל יום כ"ב שבט</t>
  </si>
  <si>
    <t>קובץ מאה שנה</t>
  </si>
  <si>
    <t>קובץ מאור עינים</t>
  </si>
  <si>
    <t>קובץ מאמרים וסיפורים - 3 כר'</t>
  </si>
  <si>
    <t>כולל שישי שבת נחלת הר חב"ד</t>
  </si>
  <si>
    <t>הקריאה והקדושה</t>
  </si>
  <si>
    <t>קובץ מבצע תפילין</t>
  </si>
  <si>
    <t>תלמידי ישיבת תו"ת ליובאוויטש המרכזית</t>
  </si>
  <si>
    <t>קובץ מגדל אור - ג' תמוז</t>
  </si>
  <si>
    <t>ישיבת אור אלחנן חב"ד</t>
  </si>
  <si>
    <t>לוס אנג'לס Los Ange</t>
  </si>
  <si>
    <t>קובץ מיוחד בעניני פסחים</t>
  </si>
  <si>
    <t>קובץ מיוחד לחידושי תורה וענייני הלכה</t>
  </si>
  <si>
    <t>קובץ מכינה - 2 כר'</t>
  </si>
  <si>
    <t>קובץ מכינה</t>
  </si>
  <si>
    <t>קובץ מכתבי ר' שמואל נאטיק</t>
  </si>
  <si>
    <t>נאטיק, צבי הירש</t>
  </si>
  <si>
    <t>קובץ מנהגי חב"ד - בעניני הריון, לידה, ברית, פדיון הבן, ולידת בת</t>
  </si>
  <si>
    <t>קובץ מנהגי חב"ד</t>
  </si>
  <si>
    <t>קובץ מעדני מלך</t>
  </si>
  <si>
    <t>קובץ מעיני ישראל</t>
  </si>
  <si>
    <t>קובץ מקדש מלך - ד</t>
  </si>
  <si>
    <t>קובץ מראי מקומות על הצעת תוכן שיחה - שנים אוחזין בטלית</t>
  </si>
  <si>
    <t>קובץ משיח וגאולה - א-ז</t>
  </si>
  <si>
    <t>תשנ"ז - תשנ"ח</t>
  </si>
  <si>
    <t>קובץ נישואי צדי"ק</t>
  </si>
  <si>
    <t>קובץ נפש חיה למינה</t>
  </si>
  <si>
    <t>קובץ נר הדרום - ב</t>
  </si>
  <si>
    <t>קובץ (יוהנסבורג)</t>
  </si>
  <si>
    <t>יוהנסבורג</t>
  </si>
  <si>
    <t>קובץ נשיא הדור</t>
  </si>
  <si>
    <t>קובץ נשיאן של ישראל</t>
  </si>
  <si>
    <t>קובץ סיפורים עם ביאורים והוראות בעבודת ה' - 3 כר'</t>
  </si>
  <si>
    <t>קובץ עטרה ליושנה</t>
  </si>
  <si>
    <t>רוסטוב</t>
  </si>
  <si>
    <t>קובץ עיון תפלה - א</t>
  </si>
  <si>
    <t>קובץ עיון תפלה</t>
  </si>
  <si>
    <t>קובץ עיוני תורה - 8 כר'</t>
  </si>
  <si>
    <t>קובץ עיונים בתורת החסידות - 2 כר'</t>
  </si>
  <si>
    <t>כולל מעייני ישראל</t>
  </si>
  <si>
    <t>קובץ עיונים וביאורים בתורת כ"ק אדמו"ר - 2 כר'</t>
  </si>
  <si>
    <t>קובץ עיונים וביאורים - ע</t>
  </si>
  <si>
    <t>ישיבה גדולה תורת אמת ירושלים</t>
  </si>
  <si>
    <t>קובץ עיונים וביאורים - 2 כר'</t>
  </si>
  <si>
    <t>קובץ עיונים תפארת שמשון - 4 כר'</t>
  </si>
  <si>
    <t>קובץ עניני תורה</t>
  </si>
  <si>
    <t>קובץ עצות והדרכות בעבודת ה' - 2 כר'</t>
  </si>
  <si>
    <t>קובץ פאס-מרוקו - חידושי תורה על ספר הרמב"ם</t>
  </si>
  <si>
    <t>קובץ פז</t>
  </si>
  <si>
    <t>דימונה</t>
  </si>
  <si>
    <t>קובץ פלאי שיח</t>
  </si>
  <si>
    <t>קובץ פלפולי דאורייתא - א</t>
  </si>
  <si>
    <t>סידני</t>
  </si>
  <si>
    <t>קובץ פלפולים וביאורים בנגלה ובחסידות - 8 כר'</t>
  </si>
  <si>
    <t>קובץ (אשען פארקוויי)</t>
  </si>
  <si>
    <t>קובץ פלפולים וביאורים בנגלה ובחסידות - א</t>
  </si>
  <si>
    <t>קובץ (בוסטון)</t>
  </si>
  <si>
    <t>קובץ (מונטריאול)</t>
  </si>
  <si>
    <t>קובץ (מנצ'סתר)</t>
  </si>
  <si>
    <t>קובץ פלפולים וביאורים - ט</t>
  </si>
  <si>
    <t>קובץ  מתיבתא ת"ת קראון הייטס</t>
  </si>
  <si>
    <t>קובץ פלפולים וביאורים - 2 כר'</t>
  </si>
  <si>
    <t>קובץ (פייוי די קמיורי, איטליה)</t>
  </si>
  <si>
    <t>איטליה</t>
  </si>
  <si>
    <t>קובץ פלפולים וביאורים - א</t>
  </si>
  <si>
    <t>מילאנו</t>
  </si>
  <si>
    <t>קובץ פלפולים והערות - יא</t>
  </si>
  <si>
    <t>קובץ בואנוס איירס</t>
  </si>
  <si>
    <t>קובץ פלפולים והערות - נ</t>
  </si>
  <si>
    <t>קובץ לוד</t>
  </si>
  <si>
    <t>קובץ פלפולים מגדל דוד</t>
  </si>
  <si>
    <t>קובץ פניני האדרת והאמונה</t>
  </si>
  <si>
    <t>קובץ פניני העשור - תש"מ-תש"נ</t>
  </si>
  <si>
    <t>קובץ פרי בכורים - א</t>
  </si>
  <si>
    <t>קובץ צדיק לחיים</t>
  </si>
  <si>
    <t>ישיבת מחנה ישראל</t>
  </si>
  <si>
    <t>פטרופוליס (ברזיל)</t>
  </si>
  <si>
    <t>קובץ קנאת סופרים - ב</t>
  </si>
  <si>
    <t>קובץ ר"ח כסלו</t>
  </si>
  <si>
    <t>קובץ לחיזוק ההתקשרות</t>
  </si>
  <si>
    <t>קובץ רשימות שיעורים - קידושין</t>
  </si>
  <si>
    <t>קלמנסון, יוסף יצחק בן יקותיאל דובער</t>
  </si>
  <si>
    <t>קובץ שי למורא</t>
  </si>
  <si>
    <t>קובץ שיחות והוראות אודות הקמת בית אגודת חסידי חב"ד</t>
  </si>
  <si>
    <t>קובץ שיחות</t>
  </si>
  <si>
    <t>קובץ שיעורים בענייני משיח וגאולה</t>
  </si>
  <si>
    <t>ועד התמימים העולמי</t>
  </si>
  <si>
    <t>קובץ שמועה טובה</t>
  </si>
  <si>
    <t>קובץ שער רומי</t>
  </si>
  <si>
    <t>קובץ שערי מנחם - 4 כר'</t>
  </si>
  <si>
    <t>קובץ שערי תורה - ג</t>
  </si>
  <si>
    <t>קובץ תוכן השיחות היומיות</t>
  </si>
  <si>
    <t>מערכת מבצע השיחה היומית</t>
  </si>
  <si>
    <t>קובץ תורת אשכנז - א</t>
  </si>
  <si>
    <t>פרנקפורט דמיין</t>
  </si>
  <si>
    <t>קובץ תקנון את"ה</t>
  </si>
  <si>
    <t>קובץ תשובות בעניני שמחה ובטחון בה'</t>
  </si>
  <si>
    <t>קובץ תשובות ומענות בקשר ללימוד בכולל</t>
  </si>
  <si>
    <t>קונטרס אביסל יידישקייט - יהדות על קצה המזלג</t>
  </si>
  <si>
    <t>אייזנבך, שמעון</t>
  </si>
  <si>
    <t>קונטרס אגרות תפלה</t>
  </si>
  <si>
    <t>קונטרס אהבת ישראל - 2 כר'</t>
  </si>
  <si>
    <t>קונטרס אהבת ישראל</t>
  </si>
  <si>
    <t>קונטרס אור המאיר - הדף</t>
  </si>
  <si>
    <t>ליקוט מאדמו"רי חב"ד</t>
  </si>
  <si>
    <t>קונטרס אור נפלא אור חדש</t>
  </si>
  <si>
    <t>קונטרס אור תורה תמימה</t>
  </si>
  <si>
    <t>פלדמן, יהושע זליג בן שניאור זלמן</t>
  </si>
  <si>
    <t>קונטרס אורה זו תורה</t>
  </si>
  <si>
    <t>קונטרס אחרים אומרים</t>
  </si>
  <si>
    <t>קונטרס אין מעמידין פרנס אא"כ נמלכין בציבור</t>
  </si>
  <si>
    <t>רייצעס, יוסף</t>
  </si>
  <si>
    <t>קונטרס איסור הלבנת פנים</t>
  </si>
  <si>
    <t>קונטרס אמרות קודש על המגיד ממעזריטש</t>
  </si>
  <si>
    <t>קונטרס אמרות קודש</t>
  </si>
  <si>
    <t>קונטרס אני מאמין</t>
  </si>
  <si>
    <t>בלומינג, שמואל חיים</t>
  </si>
  <si>
    <t>קונטרס ביאור והגהות למאמר ויאכילך את המן</t>
  </si>
  <si>
    <t>ריבלין, אליהו יוסף</t>
  </si>
  <si>
    <t>קונטרס ביאור מנהג אנ"ש בעניין נשיאת כפים באה"ק</t>
  </si>
  <si>
    <t>קונטרס ביאור מנהג אנ"ש</t>
  </si>
  <si>
    <t>קונטרס בירורי הלכות</t>
  </si>
  <si>
    <t>קונטרס בל תשחית</t>
  </si>
  <si>
    <t>סילברמן, יצחק</t>
  </si>
  <si>
    <t>קונטרס בענין מידת הבטחון</t>
  </si>
  <si>
    <t>קונטרס בענין ראש השנה ויום הכיפורים</t>
  </si>
  <si>
    <t>קונטרס בר מצוה תרנ"ג</t>
  </si>
  <si>
    <t>קונטרס גזע קודש מחצבתם</t>
  </si>
  <si>
    <t>קונטרס דברי הרש"ג</t>
  </si>
  <si>
    <t>גלעדי, שלמה</t>
  </si>
  <si>
    <t>קונטרס דברי ימי החוזרים</t>
  </si>
  <si>
    <t>קונטרס דברי תורה - 8 כר'</t>
  </si>
  <si>
    <t>קונטרס דיני ומנהגי ערב פסח שחל בשבת</t>
  </si>
  <si>
    <t>סלונים, זאב דוב</t>
  </si>
  <si>
    <t>קונטרס דרך הישרה</t>
  </si>
  <si>
    <t>קונטרס דרך חירות</t>
  </si>
  <si>
    <t>קונטרס ההשגחה האלקית בעולם</t>
  </si>
  <si>
    <t>סגל, ישבעם הלוי</t>
  </si>
  <si>
    <t>קונטרס ההשתטחות</t>
  </si>
  <si>
    <t>קונטרס הוראות בפועל</t>
  </si>
  <si>
    <t>קונטרס החיוב ללמוד תורת החסידות</t>
  </si>
  <si>
    <t>קונטרס החלצו</t>
  </si>
  <si>
    <t>אלפנביין, ישראל (עורך)</t>
  </si>
  <si>
    <t>קונטרס הליכות מבצעים</t>
  </si>
  <si>
    <t>קונטרס הלכות ראש השנה ויום הכיפורים</t>
  </si>
  <si>
    <t>קונטרס המבצעים</t>
  </si>
  <si>
    <t>קונטרס המפתח לג' מאות ענינים בההמשך רס"ז-רס"ח</t>
  </si>
  <si>
    <t>קונטרס המפתח</t>
  </si>
  <si>
    <t>קונטרס הנה זה בא</t>
  </si>
  <si>
    <t>קונטרס העבודה &lt;מהדורת חדשה&gt;</t>
  </si>
  <si>
    <t>קונטרס העבודה</t>
  </si>
  <si>
    <t>קונטרס העשירות</t>
  </si>
  <si>
    <t>קונטרס הקפות</t>
  </si>
  <si>
    <t>קונטרס הרב</t>
  </si>
  <si>
    <t>שניאור זלמן בן ברוך מלאדי - סגל, שלמה הלוי</t>
  </si>
  <si>
    <t>קונטרס הרבנית דבורה לאה</t>
  </si>
  <si>
    <t>ליקוטים מאדמור"י בית חב"ד</t>
  </si>
  <si>
    <t>קונטרס השליחות - 3 כר'</t>
  </si>
  <si>
    <t>קונטרס התפלה</t>
  </si>
  <si>
    <t>קונטרס ואתם תלוקטו לאחד אחד בני ישראל</t>
  </si>
  <si>
    <t>קונטרס וואס לערנט אונז חסידות</t>
  </si>
  <si>
    <t>התשע"ה</t>
  </si>
  <si>
    <t>קונטרס ושבתי בשלום</t>
  </si>
  <si>
    <t>מרכז לעניני חינוך</t>
  </si>
  <si>
    <t>קונטרס זהיר טפי</t>
  </si>
  <si>
    <t>זילבר, אברהם חיים</t>
  </si>
  <si>
    <t>קונטרס זכרון הרב משה מרדכי</t>
  </si>
  <si>
    <t>ארנשטיין, משה מרדכי</t>
  </si>
  <si>
    <t>קונטרס חיזוק הביטחון</t>
  </si>
  <si>
    <t>קונטרס יום טוב שני להעובר ממקום למקום</t>
  </si>
  <si>
    <t>קונטרס יחי אדוננו מורנו ורבנו</t>
  </si>
  <si>
    <t>קונטרס ימות המשיח</t>
  </si>
  <si>
    <t>קונטרס כ"ב שבט - תשע"ח</t>
  </si>
  <si>
    <t>קונטרס כדכד שמשותיך</t>
  </si>
  <si>
    <t>טייכמן, מנחם מנדל בן דוב</t>
  </si>
  <si>
    <t>האדדיטש (אוקראינה)</t>
  </si>
  <si>
    <t>קונטרס ליקוטי פנינים</t>
  </si>
  <si>
    <t>לקוטים</t>
  </si>
  <si>
    <t>קונטרס לקח טוב</t>
  </si>
  <si>
    <t>קונטרס לשון חכמים</t>
  </si>
  <si>
    <t>קונטרס מאי חנוכה</t>
  </si>
  <si>
    <t>קונטרס מכתבים ומענות</t>
  </si>
  <si>
    <t>קונטרס מנחם משיב נפשי - 2 כר'</t>
  </si>
  <si>
    <t>קונטרס מעדני יום טוב - חג שבועות ומתן תורה</t>
  </si>
  <si>
    <t>קונטרס מעדני יום טוב - יג</t>
  </si>
  <si>
    <t>קונטרס מעמד</t>
  </si>
  <si>
    <t>קונטרס מקואות בהלכה</t>
  </si>
  <si>
    <t>מטוסוב, אליהו</t>
  </si>
  <si>
    <t>קונטרס מקוה ע"ג מקוה</t>
  </si>
  <si>
    <t>מייערס, פינחס אברהם</t>
  </si>
  <si>
    <t>קונטרס מקורות וביאורים בספר המנהגים - 2 כר'</t>
  </si>
  <si>
    <t>גדלביץ, יהודה שמשון</t>
  </si>
  <si>
    <t>קונטרס מקיף - 2 כר'</t>
  </si>
  <si>
    <t>וולפא, שלום דב בער הלוי</t>
  </si>
  <si>
    <t>קונטרס משיח שבכל דור</t>
  </si>
  <si>
    <t>קונטרס משנת מלך</t>
  </si>
  <si>
    <t>שפירא, אהרן בן יצחק אייזיק</t>
  </si>
  <si>
    <t>קונטרס נרות להאיר</t>
  </si>
  <si>
    <t>קונטרס סיום והכנסת ספר תורה - 3 כר'</t>
  </si>
  <si>
    <t>קונטרס ע"ד מבצע הקהל</t>
  </si>
  <si>
    <t>קונטרס עטרת זקנים</t>
  </si>
  <si>
    <t>אנטוורפן</t>
  </si>
  <si>
    <t>קונטרס עניינה של תורת החסידות</t>
  </si>
  <si>
    <t>קונטרס ענינה של תורת החסידות עם שיעורי הרב יואל כהן</t>
  </si>
  <si>
    <t>קונטרס ענינה של תורת החסידות</t>
  </si>
  <si>
    <t>קונטרס עץ החיים</t>
  </si>
  <si>
    <t>קונטרס עשרים באב</t>
  </si>
  <si>
    <t>קונטרס פורים קטן - תשנ"ב</t>
  </si>
  <si>
    <t>קונטרס צדיק אוכל לשובע נפשו</t>
  </si>
  <si>
    <t>קונטרס צידה לדרך</t>
  </si>
  <si>
    <t>צידה לדרך</t>
  </si>
  <si>
    <t>קונטרס צפית לישועה</t>
  </si>
  <si>
    <t>קונטרס קביעות עתים</t>
  </si>
  <si>
    <t>קונטרס קטן מעניני בחירה</t>
  </si>
  <si>
    <t>תקצ"א</t>
  </si>
  <si>
    <t>קונטרס קידושי אבות</t>
  </si>
  <si>
    <t>קונטרס ר"ח כסלו תשמ"ח</t>
  </si>
  <si>
    <t>קונטרס רפאני ה' וארפא</t>
  </si>
  <si>
    <t>קונטרס שואלין ודורשין</t>
  </si>
  <si>
    <t>מיניסוטה</t>
  </si>
  <si>
    <t>קונטרס שונה הלכות הרב</t>
  </si>
  <si>
    <t>קונטרס שופטים תתן לך</t>
  </si>
  <si>
    <t>קונטרס שחיטת ליובאוויטש</t>
  </si>
  <si>
    <t>ביסטריצקי, מרדכי</t>
  </si>
  <si>
    <t>קונטרס שלא תצא מכלל ישראל כו'</t>
  </si>
  <si>
    <t>קונטרס שלום בית</t>
  </si>
  <si>
    <t>קונטרס שליחות נפשית ועיקרית</t>
  </si>
  <si>
    <t>קונטרס שלמי חגיגה</t>
  </si>
  <si>
    <t>קונטרס שמונה פרקים מספר התניא</t>
  </si>
  <si>
    <t>קונטרס שני מכתבים</t>
  </si>
  <si>
    <t>קונטרס שנת היובל - חמישים שנה</t>
  </si>
  <si>
    <t>קונטרס - על יום ירושלים</t>
  </si>
  <si>
    <t>הורביץ, יעקב הלוי</t>
  </si>
  <si>
    <t>קונטרס - 2 כר'</t>
  </si>
  <si>
    <t>ריבקין, משה דוב בר בן בן ציון</t>
  </si>
  <si>
    <t>קונטרס - 15 כר'</t>
  </si>
  <si>
    <t>קונטרס - 40 כר'</t>
  </si>
  <si>
    <t>קונטרסים &lt;ליקוט פתגמים&gt;</t>
  </si>
  <si>
    <t>חנון, מנחם נחום יצחק אייזיק בן ישעיהו מיכל</t>
  </si>
  <si>
    <t>תשי"ג - תשי"ח</t>
  </si>
  <si>
    <t>קונטרסים חורף התשל"ח</t>
  </si>
  <si>
    <t>קטלוג הוצאת ספרים קה"ת</t>
  </si>
  <si>
    <t>קטלוג</t>
  </si>
  <si>
    <t>קטלוג קה"ת</t>
  </si>
  <si>
    <t>קידוש החודש להרמב"ם</t>
  </si>
  <si>
    <t>גליצנשטיין, מנחם מנדל בן יצחק</t>
  </si>
  <si>
    <t>קיצור דיני ומנהגי נרות שבת קודש ויו"ט</t>
  </si>
  <si>
    <t>קיצור דיני טהרה</t>
  </si>
  <si>
    <t>קיצור דיני ריבית והיתר עיסקא</t>
  </si>
  <si>
    <t>כולל לדיינות חב"ד - רחובות</t>
  </si>
  <si>
    <t>קיצור הלכות משו"ע אדמו"ר הזקן - מקוצר</t>
  </si>
  <si>
    <t>הורביץ, יעקב הלוי - אלאשווילי, אברהם</t>
  </si>
  <si>
    <t>קיצור התניא - שער היחוד והאמונה</t>
  </si>
  <si>
    <t>כהן, נדב</t>
  </si>
  <si>
    <t>קיצור סדר השתלשלות בכתבי חסידות חב"ד</t>
  </si>
  <si>
    <t>קיצור שלחן ערוך עם פסקי שו"ע אדמו"ר הזקן</t>
  </si>
  <si>
    <t>קיצור שלחן ערוך עם פסקי שו"ע אדמור הזקן - מנוקד</t>
  </si>
  <si>
    <t>ביסטריצקי, לוי בן ליב</t>
  </si>
  <si>
    <t>קיצור שלחן ערוך עם תרגום ספרדית-ב</t>
  </si>
  <si>
    <t>גאנצפריד, שלמה בן יוסף</t>
  </si>
  <si>
    <t>ונצואלה</t>
  </si>
  <si>
    <t>קיצור תולדות חב"ד - א</t>
  </si>
  <si>
    <t>קיצור תניא</t>
  </si>
  <si>
    <t>קיצורים וביאורים לספר התניא</t>
  </si>
  <si>
    <t>ברודנא, אברהם צבי</t>
  </si>
  <si>
    <t>קיצורים והערות לספר ליקוטי אמרים</t>
  </si>
  <si>
    <t>קליאמקע</t>
  </si>
  <si>
    <t>וולף, אלי</t>
  </si>
  <si>
    <t>קנה לך חבר</t>
  </si>
  <si>
    <t>קראתי ואין עונה - 2 כר'</t>
  </si>
  <si>
    <t>קרבן מנחה</t>
  </si>
  <si>
    <t>תפילות. סידור. תרנ"ז. ווילנא</t>
  </si>
  <si>
    <t>תרנ"ז</t>
  </si>
  <si>
    <t>קרוב רחוק</t>
  </si>
  <si>
    <t>בת שלום, רבקה</t>
  </si>
  <si>
    <t>קריה נאמנה</t>
  </si>
  <si>
    <t>קרית מלך על הרמב"ם</t>
  </si>
  <si>
    <t>קרית מלך רב - 23 כר'</t>
  </si>
  <si>
    <t>קרית מלך רב - הדרנים על הרמב"ם</t>
  </si>
  <si>
    <t>רשת מפעלי חב"ד, עכו והקריות</t>
  </si>
  <si>
    <t>עכו והקריות</t>
  </si>
  <si>
    <t>קרית מלך - 2 כר'</t>
  </si>
  <si>
    <t>ר"ד בעת הסעודות - 2 כר'</t>
  </si>
  <si>
    <t>ר"ד בעת הסעודות</t>
  </si>
  <si>
    <t>ר' אברהם אבא הרופא ע"ה זעליגזאן - 2 כר'</t>
  </si>
  <si>
    <t>זעליגזאן, מיכאל אהרן בן אברהם אבא</t>
  </si>
  <si>
    <t>ר' אברהם הערש</t>
  </si>
  <si>
    <t>הכהן, שלום דובער בן אברהם צבי</t>
  </si>
  <si>
    <t>ר' הלל מפאריטש - סיפורים</t>
  </si>
  <si>
    <t>מכון היכל הנגינה</t>
  </si>
  <si>
    <t>ר' יוסף ע"ה קלורמן</t>
  </si>
  <si>
    <t>ר' יוסף קלורמן</t>
  </si>
  <si>
    <t>ר' ישראל בעל שם טוב ותנועת החסידות</t>
  </si>
  <si>
    <t>צביאלי, בנימין</t>
  </si>
  <si>
    <t>ר' לוי יצחק זצ"ל שניאורסון זי"ע</t>
  </si>
  <si>
    <t>ר' מענדל</t>
  </si>
  <si>
    <t>פייגלסון, א. ד. (ליקט וערך)</t>
  </si>
  <si>
    <t>ר' שילם - 2 כר'</t>
  </si>
  <si>
    <t>תולדות וסיפורים</t>
  </si>
  <si>
    <t>ר' שלום</t>
  </si>
  <si>
    <t>ר' שניאור זלמן מלאדי</t>
  </si>
  <si>
    <t>ראה מעשה ונזכר תלמוד</t>
  </si>
  <si>
    <t>לאופר, שלום שמואל שבתי</t>
  </si>
  <si>
    <t>ראש בני ישראל</t>
  </si>
  <si>
    <t>ראש חודש כסלו</t>
  </si>
  <si>
    <t>ראשי תיבות וקיצורים בספרות החסידות והקבלה</t>
  </si>
  <si>
    <t>רב להושיע - 3 כר'</t>
  </si>
  <si>
    <t>רב - מורה דרך</t>
  </si>
  <si>
    <t>רבות מופתי</t>
  </si>
  <si>
    <t>סמית, ארי</t>
  </si>
  <si>
    <t>רבותינו נשיאינו ומדינת אשכנז</t>
  </si>
  <si>
    <t>רבותינו נשיאינו</t>
  </si>
  <si>
    <t>רבותינו נשיאינו - 6 כר'</t>
  </si>
  <si>
    <t>רשת אהלי יוסף יצחק ליובאוויטש</t>
  </si>
  <si>
    <t>רבי ישראל בעל שם טוב</t>
  </si>
  <si>
    <t>גוטמאן, מתתיהו יחזקאל בן שלום</t>
  </si>
  <si>
    <t>רבי לוי יצחק ע"ה שניאורסאהן</t>
  </si>
  <si>
    <t>ליום פטירתו כ' באב סקירה קצרה</t>
  </si>
  <si>
    <t>רבי מאיר שלמה הלוי ינובסקי</t>
  </si>
  <si>
    <t>רבי מיכאל דער אלעטר</t>
  </si>
  <si>
    <t>רבן של ישראל</t>
  </si>
  <si>
    <t>אוסף מאמרים</t>
  </si>
  <si>
    <t>אייזנבך, ח. י.</t>
  </si>
  <si>
    <t>רוחו בקרבנו</t>
  </si>
  <si>
    <t>נאומים מאדמו"ר מטאלנא</t>
  </si>
  <si>
    <t>רוסטוב על נהר דון</t>
  </si>
  <si>
    <t>שלוחי רוסטוב</t>
  </si>
  <si>
    <t>רועה אבן ישראל - א</t>
  </si>
  <si>
    <t>רובין, ישראל אליעזר בן משה</t>
  </si>
  <si>
    <t>רזא דשבת</t>
  </si>
  <si>
    <t>כץ, גדליה הכהן</t>
  </si>
  <si>
    <t>קדימה</t>
  </si>
  <si>
    <t>רזא דשבתא</t>
  </si>
  <si>
    <t>רזין דאורייתא</t>
  </si>
  <si>
    <t>טננבוים, מנחם מנדל - עמית, שגיב</t>
  </si>
  <si>
    <t>רחובות הנהר - 5 כר'</t>
  </si>
  <si>
    <t>רישומה של שנה</t>
  </si>
  <si>
    <t>רמ"ח אותיות</t>
  </si>
  <si>
    <t>רמב"ם הערוך - 8 כר'</t>
  </si>
  <si>
    <t>בלומינג, יעקב פרץ בן ציון</t>
  </si>
  <si>
    <t>רמב"ם מבואר - הלכות תלמוד תורה</t>
  </si>
  <si>
    <t>רמב"ם מבואר</t>
  </si>
  <si>
    <t>רעיא מהימנא</t>
  </si>
  <si>
    <t>רעיון החודש</t>
  </si>
  <si>
    <t>גערליצקי, יוסף ש. - בלוי, טוביה</t>
  </si>
  <si>
    <t>רפואה שלמה</t>
  </si>
  <si>
    <t>שניאורסון, מנחם מנדל בן לוי יצחק (ליקוט ממכתביו)</t>
  </si>
  <si>
    <t>רשימה מיחידות כ"ק אדמו"ר מסדיגורא שליט"א אצל כ"ק אדמו"ר שליט"א</t>
  </si>
  <si>
    <t>רשימות דברים - 4 כר'</t>
  </si>
  <si>
    <t>חיטריק, יהודה בן צבי</t>
  </si>
  <si>
    <t>רשימות הרב"ש</t>
  </si>
  <si>
    <t>שניאורסון, ברוך שניאור</t>
  </si>
  <si>
    <t>רשימות חתונה</t>
  </si>
  <si>
    <t>רשימות סיפורים - 2 כר'</t>
  </si>
  <si>
    <t>מישולובין, חיים אליהו</t>
  </si>
  <si>
    <t>רשימות - חלק ה</t>
  </si>
  <si>
    <t>המשפיע ר' גרונם</t>
  </si>
  <si>
    <t>רשימות</t>
  </si>
  <si>
    <t>רשימות הנהגת קודש</t>
  </si>
  <si>
    <t>רשימות - 4 כר'</t>
  </si>
  <si>
    <t>רשימות - 5 כר'</t>
  </si>
  <si>
    <t>רשימות - על מגילת איכה</t>
  </si>
  <si>
    <t>תשי"ב</t>
  </si>
  <si>
    <t>רשימת אדמו"ר כ"ק יוסף יצחק יא-יג ניסן תרנ"ג</t>
  </si>
  <si>
    <t>רשימת אדמו"ר כ"ק יוסף יצחק שנת תערב</t>
  </si>
  <si>
    <t>רשימת דברי הכ"ק אדמו"ר</t>
  </si>
  <si>
    <t>רשימת דברים</t>
  </si>
  <si>
    <t>רשימת המאסר</t>
  </si>
  <si>
    <t>רשימת המנורה</t>
  </si>
  <si>
    <t>רשימת כ"ק אדמו"ר יוסף יצחק - דברי ימיי חיי אדמו"ר הזקן</t>
  </si>
  <si>
    <t>שניאורסון, יוסף יצחק בן שלום בער</t>
  </si>
  <si>
    <t>רשימת כ"ק אדמו"ר מנחם מענדל - שמחת בית השואבה תרצ"ב</t>
  </si>
  <si>
    <t>רשימת כבוד קדושת אדמו"ר יוסף יצחק - 2 כר'</t>
  </si>
  <si>
    <t>רשימת מאמרי דא"ח של כ"ק אדמו"ר הצמח צדק</t>
  </si>
  <si>
    <t>רשימת מאמרי כ"ק אדמו"ר על המשך תער"ב</t>
  </si>
  <si>
    <t>רשמי ביאורים - א</t>
  </si>
  <si>
    <t>מטוסוב, שלמה בן יצחק אייזיק</t>
  </si>
  <si>
    <t>רשת &lt;בטאון ארגון מורי חב"ד&gt; - 8</t>
  </si>
  <si>
    <t>שאי תפילה</t>
  </si>
  <si>
    <t>שאלות בלקוטי טעמים</t>
  </si>
  <si>
    <t>מערכת קול אברהם</t>
  </si>
  <si>
    <t>שאלות בפירש"י על פרשת השבוע</t>
  </si>
  <si>
    <t>ישיבת תורת אמת ירושלים</t>
  </si>
  <si>
    <t>שאלות וביאורים בפרש"י על פרשת השבוע - י</t>
  </si>
  <si>
    <t>ישיבת אחי תמימים ראשל"צ</t>
  </si>
  <si>
    <t>שאלות חזרה</t>
  </si>
  <si>
    <t>רשת ישיבת בין הזמנים</t>
  </si>
  <si>
    <t>שאלות לחזרה בקונטרס "ומעין"</t>
  </si>
  <si>
    <t>שאלות לתינוקות של בית רבן - הגדה ש"פ</t>
  </si>
  <si>
    <t>שאלות פירושים וביאורים - 12 כר'</t>
  </si>
  <si>
    <t>באגאמילסקי, שמואל פסח</t>
  </si>
  <si>
    <t>מייפלוואוד</t>
  </si>
  <si>
    <t>שאמיל</t>
  </si>
  <si>
    <t>ליפקין, בנימין מנשה</t>
  </si>
  <si>
    <t>שארית יהודה - 2 כר'</t>
  </si>
  <si>
    <t>שניאורי, יהודה ליב בן ברוך</t>
  </si>
  <si>
    <t>תר"א</t>
  </si>
  <si>
    <t>שארית ישראל</t>
  </si>
  <si>
    <t>יפה, ישראל בן חיים</t>
  </si>
  <si>
    <t>קלוז' Cluj</t>
  </si>
  <si>
    <t>שבועות חסידי</t>
  </si>
  <si>
    <t>הלכות ומנהגי חב"ד לחג השבועות</t>
  </si>
  <si>
    <t>שבח הברית</t>
  </si>
  <si>
    <t>הורוויץ, שמואל הלוי</t>
  </si>
  <si>
    <t>שבח המועדים</t>
  </si>
  <si>
    <t>שבח הנישואין</t>
  </si>
  <si>
    <t>שבח יקר</t>
  </si>
  <si>
    <t>שבחי הבעש"ט &lt;מכתב יד&gt;</t>
  </si>
  <si>
    <t>שבחי הבעש"ט</t>
  </si>
  <si>
    <t>שבחי הבעש"ט השלם (מבואר)</t>
  </si>
  <si>
    <t>שבחי הבעש"ט. תשע"ז.</t>
  </si>
  <si>
    <t>שבחי הבעש"ט. תרצ"א</t>
  </si>
  <si>
    <t>שבחי הבעש"ט. תשכ"א</t>
  </si>
  <si>
    <t>תשכ"א</t>
  </si>
  <si>
    <t>שבחי הרב - 2 כר'</t>
  </si>
  <si>
    <t>תרכ"ה</t>
  </si>
  <si>
    <t>שביעית כהלכתה</t>
  </si>
  <si>
    <t>ועקנין, נפתלי ש.</t>
  </si>
  <si>
    <t>שבע מצות השם</t>
  </si>
  <si>
    <t>שבעת התורות שאמר מורנו הבעש"ט בגן עדן</t>
  </si>
  <si>
    <t>שבת אחדות - 4 כר'</t>
  </si>
  <si>
    <t>גבעת וושינגטון</t>
  </si>
  <si>
    <t>שבת כהלכה - 2 כר'</t>
  </si>
  <si>
    <t>שבת של אחדות ישראל</t>
  </si>
  <si>
    <t>שבת, כיבוד אב ואם, כיסוי ראש, מזוזה</t>
  </si>
  <si>
    <t>המרכז לענייני חינוך</t>
  </si>
  <si>
    <t>שדי חמד - 9 כר'</t>
  </si>
  <si>
    <t>מדיני, חיים חזקיהו בן רפאל אשר אליהו</t>
  </si>
  <si>
    <t>תש"ט - תשי"ג</t>
  </si>
  <si>
    <t>שו"ת אגרות מרדכי</t>
  </si>
  <si>
    <t>בעלינאוו, מרדכי בן שמואל דוד</t>
  </si>
  <si>
    <t>שו"ת אדמו"ר הזקן</t>
  </si>
  <si>
    <t>שו"ת במאמרי ליקוטי תורה לאדמו"ר הזקן</t>
  </si>
  <si>
    <t>שאלות ותשובות במאמרי לקוטי תורה</t>
  </si>
  <si>
    <t>שו"ת בענין הגאולה העתידה וביאת המשיח</t>
  </si>
  <si>
    <t>שו"ת הרב &lt;טקסט&gt;</t>
  </si>
  <si>
    <t>שו"ת הרב</t>
  </si>
  <si>
    <t>שו"ת השלוחים - א</t>
  </si>
  <si>
    <t>נחמנסון, יהודה ליב</t>
  </si>
  <si>
    <t>שו"ת שלוחי המלך</t>
  </si>
  <si>
    <t>אדרעי, י. י.</t>
  </si>
  <si>
    <t>שואלים ודורשים - בענייני הפסח</t>
  </si>
  <si>
    <t>שואלין ודורשין וסדר פסח</t>
  </si>
  <si>
    <t>שווה לכל נפש - 2 כר'</t>
  </si>
  <si>
    <t>שולחן השבת עם הרבי מלובביץ</t>
  </si>
  <si>
    <t>רט, משה - טייב, אליהו</t>
  </si>
  <si>
    <t>שולחן חג</t>
  </si>
  <si>
    <t>שולחן שבת - 5 כר'</t>
  </si>
  <si>
    <t>ברוד, מנחם - צ', לבנוני</t>
  </si>
  <si>
    <t>שומרי החומות</t>
  </si>
  <si>
    <t>עכו</t>
  </si>
  <si>
    <t>שומרי טהרה</t>
  </si>
  <si>
    <t>מכון להוראה ודיינות</t>
  </si>
  <si>
    <t>שומרי משפט</t>
  </si>
  <si>
    <t>שורש מצות התפילה - א</t>
  </si>
  <si>
    <t>שניאורסון, מנחם מנדל בן שלום שכנא - קסלמן, שלום דובער</t>
  </si>
  <si>
    <t>שושנת העמקים</t>
  </si>
  <si>
    <t>שי למלך</t>
  </si>
  <si>
    <t>שי לצדיק</t>
  </si>
  <si>
    <t>שידוך טוב</t>
  </si>
  <si>
    <t>שיח שרפי קודש</t>
  </si>
  <si>
    <t>שיח תמים - 2 כר'</t>
  </si>
  <si>
    <t>תשנ"ז - תש"ס</t>
  </si>
  <si>
    <t>שיח</t>
  </si>
  <si>
    <t>חוברת בענייני חינוך</t>
  </si>
  <si>
    <t>שיחה של כ"ק אדמו"ר</t>
  </si>
  <si>
    <t>שיחו בכל נפלאותיו</t>
  </si>
  <si>
    <t>לאופר, ישראל אריה לייב</t>
  </si>
  <si>
    <t>שיחות הרבי לילדים - 4 כר'</t>
  </si>
  <si>
    <t>שיחות הרבי לעם - מועדים</t>
  </si>
  <si>
    <t>מרינובסקי, משה</t>
  </si>
  <si>
    <t>שיחות השבוע - 6 כר'</t>
  </si>
  <si>
    <t>גליון שבועי חב"ד</t>
  </si>
  <si>
    <t>תשמ"ז-תשמ"ח</t>
  </si>
  <si>
    <t>שיחות חג הגאולה י"ב-י"ג תמוז תרצ"ו</t>
  </si>
  <si>
    <t>שיחות לנוער &lt;סדרה ב&gt; - 2 כר'</t>
  </si>
  <si>
    <t>ירחון לנוער</t>
  </si>
  <si>
    <t>שיחות לנוער - 9 כר'</t>
  </si>
  <si>
    <t>תשי"ז - תשי"ט</t>
  </si>
  <si>
    <t>שיחות קודש מכ"ק אדמו"ר מוהריי"ץ</t>
  </si>
  <si>
    <t>שיחות קודש - 53 כר'</t>
  </si>
  <si>
    <t>שיחת היום</t>
  </si>
  <si>
    <t>שיחת כ"ק הרבי מליובאוויץ לילדים וילדות</t>
  </si>
  <si>
    <t>שיטת לימודו של הרוגוצ'ובי ז"ל</t>
  </si>
  <si>
    <t>טננבוים, מנחם מנדל</t>
  </si>
  <si>
    <t>שיטת רבינו ישראל אבוחצירא בענין גידול וגילוח הזקן</t>
  </si>
  <si>
    <t>שיעורי הלכה למעשה - 2 כר'</t>
  </si>
  <si>
    <t>שיעורי סמיכה - יו"ד צ"ח תערובות</t>
  </si>
  <si>
    <t>שיעורים בהמשך המאמרים בשעה שהקדימו תער"ב - 7 כר'</t>
  </si>
  <si>
    <t>מכון דעת</t>
  </si>
  <si>
    <t>שיעורים בחסידות - 6 כר'</t>
  </si>
  <si>
    <t>שיעורים בספר התניא (בל' הקדש) - 4 כר'</t>
  </si>
  <si>
    <t>וינברג, יוסף</t>
  </si>
  <si>
    <t>שיעורים בספר התניא - 3 כר'</t>
  </si>
  <si>
    <t>שיעורים בספר התניא</t>
  </si>
  <si>
    <t>שיעורים בתורת החסידות - המשך תרס"ו א</t>
  </si>
  <si>
    <t>שיעורים בתורת חב"ד</t>
  </si>
  <si>
    <t>שירים אארוג</t>
  </si>
  <si>
    <t>גליצנשטיין, ציפורה</t>
  </si>
  <si>
    <t>שירת מרים</t>
  </si>
  <si>
    <t>שירת משה</t>
  </si>
  <si>
    <t>מייזליש, משה בן מרדכי</t>
  </si>
  <si>
    <t>שישאר בינינו</t>
  </si>
  <si>
    <t>פרלוב, ליבא</t>
  </si>
  <si>
    <t>שכונת נוה שלום ירושלים</t>
  </si>
  <si>
    <t>שלבי החינוך לתורה באור ההלכה</t>
  </si>
  <si>
    <t>הכהן, שמואל יחזקאל</t>
  </si>
  <si>
    <t>שלהבת עולה מאליה</t>
  </si>
  <si>
    <t>שלום רב - א</t>
  </si>
  <si>
    <t>רוזנבוים, יצחק אייזיק בן איתמר</t>
  </si>
  <si>
    <t>שלום שלום ואין שלום - 2 כר'</t>
  </si>
  <si>
    <t>שלחן הזהב</t>
  </si>
  <si>
    <t>פרידלנד, שלום דובער בן אברהם מנדל</t>
  </si>
  <si>
    <t>שלחן הפסח (תדפיס מהספר)</t>
  </si>
  <si>
    <t>שלחן מנחם - 7 כר'</t>
  </si>
  <si>
    <t>שלחן ערוך אדמו"ר הזקן המבואר - או"ח פט-קלא, קנה-קנו</t>
  </si>
  <si>
    <t>שניאור זלמן בן ברוך מלאדי - אלאשוילי, אברהם</t>
  </si>
  <si>
    <t>שלחן ערוך הקצר - 2 כר'</t>
  </si>
  <si>
    <t>וייס, דניאל שלום</t>
  </si>
  <si>
    <t>שלחן ערוך הרב &lt;בלכתך בדרך&gt; - 43 כר'</t>
  </si>
  <si>
    <t>שלחן ערוך הרב &lt;טקסט&gt;</t>
  </si>
  <si>
    <t>שלחן ערוך הרב &lt;מנוקד&gt; - 5 כר'</t>
  </si>
  <si>
    <t>שלחן ערוך הרב &lt;עם ציונים ומקורות&gt; - 7 כר'</t>
  </si>
  <si>
    <t>שלחן ערוך הרב &lt;עם תרגום אנגלית&gt; - 5 כר'</t>
  </si>
  <si>
    <t>שלחן ערוך הרב הל' יו"ט עם ביאור נימוקי יו"ט</t>
  </si>
  <si>
    <t>ראטה, שמואל בן חיים אלטר</t>
  </si>
  <si>
    <t>שלחן ערוך הרב עם ביאור דברי שלום - 3 כר'</t>
  </si>
  <si>
    <t>שניאור זלמן בן ברוך מלאדי - לוין, שלום דובער</t>
  </si>
  <si>
    <t>שלחן ערוך הרב - 4 כר'</t>
  </si>
  <si>
    <t>שלחן ערוך - חושן משפט (תרגום ופירוש באנגלית)</t>
  </si>
  <si>
    <t>שלחן שבת</t>
  </si>
  <si>
    <t>שליחות חיי</t>
  </si>
  <si>
    <t>שלם בתלמודו - 7 כר'</t>
  </si>
  <si>
    <t>שיקאגו</t>
  </si>
  <si>
    <t>שלמות הארץ</t>
  </si>
  <si>
    <t>גוטניק, יוסף יצחק הכהן</t>
  </si>
  <si>
    <t>שלמות - 47 כר'</t>
  </si>
  <si>
    <t>הועד למען שלמות העם</t>
  </si>
  <si>
    <t>שלשים שנה לר"ח כסלו תשל"ח</t>
  </si>
  <si>
    <t>יומן מיוחד</t>
  </si>
  <si>
    <t>שלשלת היחס</t>
  </si>
  <si>
    <t>שלשלת נשיאי חב"ד</t>
  </si>
  <si>
    <t>שמועות וסיפורים מרבותינו הקדושים - 5 כר'</t>
  </si>
  <si>
    <t>הכהן, רפאל נחמן בן ברוך שלום</t>
  </si>
  <si>
    <t>שמועות ישראל - 4 כר'</t>
  </si>
  <si>
    <t>שמועסן מיט קינדער - 3 כר'</t>
  </si>
  <si>
    <t>תש"ה - תש"ז</t>
  </si>
  <si>
    <t>שמחה כאתגר - הגישה החסידית</t>
  </si>
  <si>
    <t>שמחת מלך</t>
  </si>
  <si>
    <t>פאקס, נח שמחה</t>
  </si>
  <si>
    <t>פילדלפיה</t>
  </si>
  <si>
    <t>שמחת סיום הרמב"ם מחזור חמישי</t>
  </si>
  <si>
    <t>שמחת סיום הרמב"ם</t>
  </si>
  <si>
    <t>שמחת עולם</t>
  </si>
  <si>
    <t>לאופר, מרדכי</t>
  </si>
  <si>
    <t>שמחת תורה</t>
  </si>
  <si>
    <t>שמחת תורה - ענייני דיומא</t>
  </si>
  <si>
    <t>מבית מדרשו של אדמו"ר מחב"ד</t>
  </si>
  <si>
    <t>שמים חדשים</t>
  </si>
  <si>
    <t>שמירת הברכות</t>
  </si>
  <si>
    <t>שמירת הטהרה</t>
  </si>
  <si>
    <t>שמירת המצוות לאישה ולבת</t>
  </si>
  <si>
    <t>שמירת השבת</t>
  </si>
  <si>
    <t>שמירת השמחות</t>
  </si>
  <si>
    <t>שמירת התפילה - מהדו"א</t>
  </si>
  <si>
    <t>שמירת מצוות היום</t>
  </si>
  <si>
    <t>שמלה חדשה עם בגדי מלכות (תדפיס)</t>
  </si>
  <si>
    <t>דיקשטיין, שלום דובער - הלפרין, לוי יצחק - דיקשטיין, חיים אברהם שמואל</t>
  </si>
  <si>
    <t>שני המאורות</t>
  </si>
  <si>
    <t>תרמ"ב</t>
  </si>
  <si>
    <t>שנים אוחזין בטלית</t>
  </si>
  <si>
    <t>שעורי התמימים</t>
  </si>
  <si>
    <t>שער הדרום</t>
  </si>
  <si>
    <t>שער היחוד והאמונה &lt;עם ביאור המאור שבתורה&gt;</t>
  </si>
  <si>
    <t>ארגון המאור שבתורה</t>
  </si>
  <si>
    <t>שער היחוד והאמונה עם פירוש ועיונים</t>
  </si>
  <si>
    <t>שער היחוד והאמונה עם שיעורי הרב יואל כהן</t>
  </si>
  <si>
    <t>שער היחוד</t>
  </si>
  <si>
    <t>שער הכולל - 2 כר'</t>
  </si>
  <si>
    <t>תרנ"ו</t>
  </si>
  <si>
    <t>וילנא</t>
  </si>
  <si>
    <t>שער התפלה</t>
  </si>
  <si>
    <t>מישקולץ Miskolc</t>
  </si>
  <si>
    <t>שער התשובה והתפלה &lt;טקסט&gt;</t>
  </si>
  <si>
    <t>שער התשובה והתפלה - א</t>
  </si>
  <si>
    <t>תקע"ז - תקע"ח</t>
  </si>
  <si>
    <t>שקלוב Shklov</t>
  </si>
  <si>
    <t>שערי אהבת ישראל</t>
  </si>
  <si>
    <t>שערי אורה &lt;טקסט&gt;</t>
  </si>
  <si>
    <t>שערי אורה - 2 כר'</t>
  </si>
  <si>
    <t>תרכ"א</t>
  </si>
  <si>
    <t>שערי אמונה - 2 כר'</t>
  </si>
  <si>
    <t>שערי ארץ ישראל</t>
  </si>
  <si>
    <t>שערי גאולה - 2 כר'</t>
  </si>
  <si>
    <t>שערי היחוד ואמונה - 2 כר'</t>
  </si>
  <si>
    <t>תק"פ</t>
  </si>
  <si>
    <t>שערי הלכה ומנהג - 5 כר'</t>
  </si>
  <si>
    <t>שערי המועדים - 14 כר'</t>
  </si>
  <si>
    <t>שערי התמימים - 20 כר'</t>
  </si>
  <si>
    <t>שערי חינוך</t>
  </si>
  <si>
    <t>שערי יהודה - 2 כר'</t>
  </si>
  <si>
    <t>אבר, יהודה בן אברהם יעקב</t>
  </si>
  <si>
    <t>שערי יורה דעה - ב (מליחה)</t>
  </si>
  <si>
    <t>שערי ישיבה גדולה - 12 כר'</t>
  </si>
  <si>
    <t>שערי ישיבה - 14 כר'</t>
  </si>
  <si>
    <t>שערי לימוד החסידות</t>
  </si>
  <si>
    <t>שערי מילה</t>
  </si>
  <si>
    <t>שערי נישואין</t>
  </si>
  <si>
    <t>שערי ספר התניא - 4 כר'</t>
  </si>
  <si>
    <t>שערי עבודה</t>
  </si>
  <si>
    <t>תקפ"א</t>
  </si>
  <si>
    <t>שערי עיון</t>
  </si>
  <si>
    <t>אברהמי, מנחם מענדל דוד בן שמעון</t>
  </si>
  <si>
    <t>שערי עיונים בדא"ח</t>
  </si>
  <si>
    <t>שערי צדקה</t>
  </si>
  <si>
    <t>שערי ציון</t>
  </si>
  <si>
    <t>קובץ לחידושי תורה ועניני הלכה</t>
  </si>
  <si>
    <t>שערי שידוכין</t>
  </si>
  <si>
    <t>שערי שלום</t>
  </si>
  <si>
    <t>שערי שמיטה</t>
  </si>
  <si>
    <t>שערי תורה &lt;חב"ד טבריא&gt; - א</t>
  </si>
  <si>
    <t>טבריה</t>
  </si>
  <si>
    <t>שערי תורה &lt;חב"ד קאראקס&gt; - 3 כר'</t>
  </si>
  <si>
    <t>קאראקס</t>
  </si>
  <si>
    <t>שערי תורה &lt;חב"ד קרית גת&gt; - א</t>
  </si>
  <si>
    <t>שערי תפילה ומנהג - 2 כר'</t>
  </si>
  <si>
    <t>שערי תפילה</t>
  </si>
  <si>
    <t>שערי תשובה - 2 כר'</t>
  </si>
  <si>
    <t>זיטומיר Zhitomir</t>
  </si>
  <si>
    <t>שפתי חיים</t>
  </si>
  <si>
    <t>שש אנכי על אמרתך</t>
  </si>
  <si>
    <t>שש על אמרתך - בר מצוה</t>
  </si>
  <si>
    <t>שגיב, עמית</t>
  </si>
  <si>
    <t>תא חזי</t>
  </si>
  <si>
    <t>תאריכים בדברי ימי חב"ד</t>
  </si>
  <si>
    <t>תבנית העולמות</t>
  </si>
  <si>
    <t>תגלנה עצמות דיכית</t>
  </si>
  <si>
    <t>תדפיס מספר תולדות בערל בוימגארטען</t>
  </si>
  <si>
    <t>תדפיס מספר תולדות</t>
  </si>
  <si>
    <t>תהלות שבת</t>
  </si>
  <si>
    <t>רדום Radom</t>
  </si>
  <si>
    <t>תהלים אהל יוסף יצחק ע"פ תהלות מנחם - 5 כר'</t>
  </si>
  <si>
    <t>תהלים עם פירוש יהל אור</t>
  </si>
  <si>
    <t>Ney York ניו יורק</t>
  </si>
  <si>
    <t>תהלים עם פירוש תהלות מנחם - 2 כר'</t>
  </si>
  <si>
    <t>תהלים עם תרגום ספרדית</t>
  </si>
  <si>
    <t>תנ"ך. ניו יורק. תש"ע</t>
  </si>
  <si>
    <t>תהלים עם תרגום רוסית</t>
  </si>
  <si>
    <t>תהלים פ"ט עם ילקוט פירושים</t>
  </si>
  <si>
    <t>תהלת רבותינו - ברכות השחר, הודו</t>
  </si>
  <si>
    <t>תהלתו עומדת לעד</t>
  </si>
  <si>
    <t>תוכן הענינים על לקוטי שיחות ספר בראשית חודש ניסן</t>
  </si>
  <si>
    <t>תוכן הענינים על לקוטי שיחות</t>
  </si>
  <si>
    <t>תוכן השיחות היומיות</t>
  </si>
  <si>
    <t>תוכן התועדות - 3 כר'</t>
  </si>
  <si>
    <t>תולדות אברהם חיים &lt;טקסט&gt;</t>
  </si>
  <si>
    <t>תולדות אברהם חיים</t>
  </si>
  <si>
    <t>תולדות ברוך מרדכי</t>
  </si>
  <si>
    <t>תולדות חב"ד בארץ הקודש &lt;טקסט&gt;</t>
  </si>
  <si>
    <t>תולדות חב"ד בארץ הקודש</t>
  </si>
  <si>
    <t>תולדות חב"ד בארצות הברית</t>
  </si>
  <si>
    <t>תולדות חב"ד בפולין, ליטא ולטביא</t>
  </si>
  <si>
    <t>תולדות חב"ד בפטרבורג</t>
  </si>
  <si>
    <t>תולדות חב"ד ברוסיא הסובייטית</t>
  </si>
  <si>
    <t>תולדות חב"ד ברוסיא הצארית</t>
  </si>
  <si>
    <t>תולדות יצחק אייזיק</t>
  </si>
  <si>
    <t>תולדות לוי יצחק - 3 כר'</t>
  </si>
  <si>
    <t>תולדות משפחת הרב מלאדי</t>
  </si>
  <si>
    <t>סלונים, מנחם שמואל בן שניאור שלמה זלמן</t>
  </si>
  <si>
    <t>תולדות ספר התניא</t>
  </si>
  <si>
    <t>תולדות צאצאי רבי יהונתן</t>
  </si>
  <si>
    <t>תולדות ר' אברהם אבא זעליגזאן</t>
  </si>
  <si>
    <t>אהרן, מיכאל</t>
  </si>
  <si>
    <t>תולדות ר' מנחם מענדל</t>
  </si>
  <si>
    <t>תולדות ר' סעדיה</t>
  </si>
  <si>
    <t>ליבראוו, מרדכי צבי</t>
  </si>
  <si>
    <t>תולדות רבותינו נשיאינו</t>
  </si>
  <si>
    <t>הולצמן, לוי יצחק</t>
  </si>
  <si>
    <t>תולדות רבי משה</t>
  </si>
  <si>
    <t>תולדות שמואל מונקעס, החתונה הגדולה בז'לאבין</t>
  </si>
  <si>
    <t>גור אריה, אליהו יוחנן</t>
  </si>
  <si>
    <t>תומכי תמימים</t>
  </si>
  <si>
    <t>ליקוטים מתורת חב"ד</t>
  </si>
  <si>
    <t>תורה אור &lt;טקסט&gt;</t>
  </si>
  <si>
    <t>תורה אור (באנגלית) - א</t>
  </si>
  <si>
    <t>תורה אור המבואר - 6 כר'</t>
  </si>
  <si>
    <t>תורה אור ולקוטי תורה ע"פ חסידות מבוארת - 2 כר'</t>
  </si>
  <si>
    <t>תורה אור - 4 כר'</t>
  </si>
  <si>
    <t>תורה געדאנקען</t>
  </si>
  <si>
    <t>דובראווסקי, יהושע</t>
  </si>
  <si>
    <t>תורה ופירושה - 6 כר'</t>
  </si>
  <si>
    <t>אלאשוילי, אברהם</t>
  </si>
  <si>
    <t>תורותיו ינצורו</t>
  </si>
  <si>
    <t>תורת אמת - ב</t>
  </si>
  <si>
    <t>תורת ברלין</t>
  </si>
  <si>
    <t>ברלין</t>
  </si>
  <si>
    <t>תורת החסידות</t>
  </si>
  <si>
    <t>תורת המערב</t>
  </si>
  <si>
    <t>קליפורניה</t>
  </si>
  <si>
    <t>תורת הסוגיות</t>
  </si>
  <si>
    <t>תורת השליחות</t>
  </si>
  <si>
    <t>הראל, אוריאל יצחק בן אריה יהודה</t>
  </si>
  <si>
    <t>תורת חב"ד - 2 כר'</t>
  </si>
  <si>
    <t>תורת חיים &lt;טקסט&gt;</t>
  </si>
  <si>
    <t>תורת חיים - 4 כר'</t>
  </si>
  <si>
    <t>תורת חסד</t>
  </si>
  <si>
    <t>תורת יצחק - 2 כר'</t>
  </si>
  <si>
    <t>תורת לוי יצחק - ש"ס משנה וגמרא</t>
  </si>
  <si>
    <t>תורת מנחם &lt;טקסט&gt;</t>
  </si>
  <si>
    <t>תורת מנחם &lt;יין מלכות&gt; - 3 כר'</t>
  </si>
  <si>
    <t>תורת מנחם (בצרפתית) - ספר המאמרים מלוקט חודש תמוז</t>
  </si>
  <si>
    <t>תורת מנחם מנחם ציון - 2 כר'</t>
  </si>
  <si>
    <t>תורת מנחם ספר המאמרים מלוקט - 4 כר'</t>
  </si>
  <si>
    <t>תורת מנחם תפארת לוי יצחק - 3 כר'</t>
  </si>
  <si>
    <t>תורת מנחם - 137 כר'</t>
  </si>
  <si>
    <t>תורת נחלת הר חב"ד - 130 כר'</t>
  </si>
  <si>
    <t>תורת צדק</t>
  </si>
  <si>
    <t>תורת שלום - 4 כר'</t>
  </si>
  <si>
    <t>תורת שמואל &lt;טקסט&gt;</t>
  </si>
  <si>
    <t>תורת שמואל ספר השיחות</t>
  </si>
  <si>
    <t>תורת תלמיד ותיק</t>
  </si>
  <si>
    <t>תורת תמימים - א</t>
  </si>
  <si>
    <t>תורתו אמת</t>
  </si>
  <si>
    <t>תורתו מגן לנו</t>
  </si>
  <si>
    <t>מערכת לכשיפוצו מעינותיך</t>
  </si>
  <si>
    <t>תורתך תלמדנו</t>
  </si>
  <si>
    <t>תינוק נולד - מדריך יהודי ללידת הבן והבת</t>
  </si>
  <si>
    <t>תיקון ליל שבועות והושענא רבא - אוצר מנהגי חב"ד</t>
  </si>
  <si>
    <t>תיקוני מקוואות לפי תקנת רבותינו</t>
  </si>
  <si>
    <t>תכונות השמים</t>
  </si>
  <si>
    <t>קעלער, יוסף יצחק בן יהודה</t>
  </si>
  <si>
    <t>תכנית לימוד דברי חכמי הדורות על הגאולה</t>
  </si>
  <si>
    <t>קפלן נחום יצחק</t>
  </si>
  <si>
    <t>תלת הלכתא רבתא בהלכות עירובין</t>
  </si>
  <si>
    <t>תמים בחוקיך</t>
  </si>
  <si>
    <t>תמים תהיה</t>
  </si>
  <si>
    <t>עלון</t>
  </si>
  <si>
    <t>תן לחכם</t>
  </si>
  <si>
    <t>פוגלמן, יהודה צבי בן משה יעקב</t>
  </si>
  <si>
    <t>וואוסטר מסצ'וסטס</t>
  </si>
  <si>
    <t>תנאים ווארט אירוסין ונישואין</t>
  </si>
  <si>
    <t>תניא בעל פה</t>
  </si>
  <si>
    <t>חובל, נתן</t>
  </si>
  <si>
    <t>תניא לאנשים כמוך וכמוני</t>
  </si>
  <si>
    <t>שם-טוב, אליעזר - ליברמן, דובי</t>
  </si>
  <si>
    <t>תניא עם תרגום לגרוזינית</t>
  </si>
  <si>
    <t>תספורת והכנסה לחדר</t>
  </si>
  <si>
    <t>ברוק, לוי יצחק (עורך)</t>
  </si>
  <si>
    <t>תספורת ראשונה</t>
  </si>
  <si>
    <t>תערוכת חב"ד-ליובאוויטש</t>
  </si>
  <si>
    <t>תערוכת חב"ד</t>
  </si>
  <si>
    <t>תערוכת ספריית ליובאוויטש</t>
  </si>
  <si>
    <t>תערוכת רבינו הזקן</t>
  </si>
  <si>
    <t>תפארת במקדשו</t>
  </si>
  <si>
    <t>תפארת בנים אבותם</t>
  </si>
  <si>
    <t>תפארת השליחות</t>
  </si>
  <si>
    <t>תפארת יגאל</t>
  </si>
  <si>
    <t>תפארת יהודה קלמן - 2 כר'</t>
  </si>
  <si>
    <t>תפארת יעקב - תולדות רבי יעקב הלוי פרידמאן</t>
  </si>
  <si>
    <t>הורביץ, שלום הלוי</t>
  </si>
  <si>
    <t>תפארת מלך - א</t>
  </si>
  <si>
    <t>תפארת מנחם - ב</t>
  </si>
  <si>
    <t>תפארת עזריאל</t>
  </si>
  <si>
    <t>חייקין, מאיר חיים בן עזריאל</t>
  </si>
  <si>
    <t>תפארת שניאור זלמן</t>
  </si>
  <si>
    <t>קובץ זכרון משפחת פעווזנער</t>
  </si>
  <si>
    <t>תפילה לאני</t>
  </si>
  <si>
    <t>תפילות ובקשות על קברי צדיקים</t>
  </si>
  <si>
    <t>לזרוב, חיים צבי בן שמעון (עורך)</t>
  </si>
  <si>
    <t>תפילות כל נדרי ונעילה - עדות המזרח</t>
  </si>
  <si>
    <t>תפילות כל נדרי ונעילה</t>
  </si>
  <si>
    <t>תפילין דמארי עלמא</t>
  </si>
  <si>
    <t>תפילין</t>
  </si>
  <si>
    <t>צעירי חב"ד בישראל</t>
  </si>
  <si>
    <t>תקופת לימוד הרמב"ם</t>
  </si>
  <si>
    <t>המרכז לעניני חינוך</t>
  </si>
  <si>
    <t>תקנון הלכתי לבתי חב"ד</t>
  </si>
  <si>
    <t>תקנון הלכתי</t>
  </si>
  <si>
    <t>תקנות הרבי</t>
  </si>
  <si>
    <t>תקע בשופר גדול</t>
  </si>
  <si>
    <t>תרי"ג מצות</t>
  </si>
  <si>
    <t>מפעל תרי"ג מצות</t>
  </si>
  <si>
    <t>תשובה בחג הגאולה</t>
  </si>
  <si>
    <t>תשובות וביאורים</t>
  </si>
  <si>
    <t>תשורה מהפאנל - ליקוטי שיחות</t>
  </si>
  <si>
    <t>תשורה - תשע"ב - (הולצמן)</t>
  </si>
  <si>
    <t>תשורה - תשע"ד (כ"ץ) מאמר ואתה תצוה</t>
  </si>
  <si>
    <t>כ"ץ יוסף יצחק</t>
  </si>
  <si>
    <t>תשורה - תשע"ה (לרנר) מקוה ע"ג האוצר</t>
  </si>
  <si>
    <t>תשורה - 825 כר'</t>
  </si>
  <si>
    <t>תשורה - תשס"ז (סגל) ספר הצאצאים</t>
  </si>
  <si>
    <t>קונטרסי תשורה משמחות חסידי חב"ד</t>
  </si>
  <si>
    <t>תשרי בליובאוויטש</t>
  </si>
  <si>
    <t>תשרי של נפלאות גדולות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</si>
</sst>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57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color rgb="FFFF0000"/>
      <name val="Arial"/>
      <family val="2"/>
      <scheme val="minor"/>
    </font>
    <font>
      <b/>
      <sz val="11"/>
      <color rgb="FF0070C0"/>
      <name val="Arial"/>
      <family val="2"/>
      <scheme val="minor"/>
    </font>
    <font>
      <sz val="11"/>
      <color rgb="FF0070C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</cellXfs>
  <cellStyles count="42">
    <cellStyle name="20% - הדגשה1" xfId="19" builtinId="30" customBuiltin="1"/>
    <cellStyle name="20% - הדגשה2" xfId="23" builtinId="34" customBuiltin="1"/>
    <cellStyle name="20% - הדגשה3" xfId="27" builtinId="38" customBuiltin="1"/>
    <cellStyle name="20% - הדגשה4" xfId="31" builtinId="42" customBuiltin="1"/>
    <cellStyle name="20% - הדגשה5" xfId="35" builtinId="46" customBuiltin="1"/>
    <cellStyle name="20% - הדגשה6" xfId="39" builtinId="50" customBuiltin="1"/>
    <cellStyle name="40% - הדגשה1" xfId="20" builtinId="31" customBuiltin="1"/>
    <cellStyle name="40% - הדגשה2" xfId="24" builtinId="35" customBuiltin="1"/>
    <cellStyle name="40% - הדגשה3" xfId="28" builtinId="39" customBuiltin="1"/>
    <cellStyle name="40% - הדגשה4" xfId="32" builtinId="43" customBuiltin="1"/>
    <cellStyle name="40% - הדגשה5" xfId="36" builtinId="47" customBuiltin="1"/>
    <cellStyle name="40% - הדגשה6" xfId="40" builtinId="51" customBuiltin="1"/>
    <cellStyle name="60% - הדגשה1" xfId="21" builtinId="32" customBuiltin="1"/>
    <cellStyle name="60% - הדגשה2" xfId="25" builtinId="36" customBuiltin="1"/>
    <cellStyle name="60% - הדגשה3" xfId="29" builtinId="40" customBuiltin="1"/>
    <cellStyle name="60% - הדגשה4" xfId="33" builtinId="44" customBuiltin="1"/>
    <cellStyle name="60% - הדגשה5" xfId="37" builtinId="48" customBuiltin="1"/>
    <cellStyle name="60% - הדגשה6" xfId="41" builtinId="52" customBuiltin="1"/>
    <cellStyle name="Normal" xfId="0" builtinId="0"/>
    <cellStyle name="הדגשה1" xfId="18" builtinId="29" customBuiltin="1"/>
    <cellStyle name="הדגשה2" xfId="22" builtinId="33" customBuiltin="1"/>
    <cellStyle name="הדגשה3" xfId="26" builtinId="37" customBuiltin="1"/>
    <cellStyle name="הדגשה4" xfId="30" builtinId="41" customBuiltin="1"/>
    <cellStyle name="הדגשה5" xfId="34" builtinId="45" customBuiltin="1"/>
    <cellStyle name="הדגשה6" xfId="38" builtinId="49" customBuiltin="1"/>
    <cellStyle name="הערה" xfId="15" builtinId="10" customBuiltin="1"/>
    <cellStyle name="חישוב" xfId="11" builtinId="22" customBuiltin="1"/>
    <cellStyle name="טוב" xfId="6" builtinId="26" customBuiltin="1"/>
    <cellStyle name="טקסט אזהרה" xfId="14" builtinId="11" customBuiltin="1"/>
    <cellStyle name="טקסט הסברי" xfId="16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ניטראלי" xfId="8" builtinId="28" customBuiltin="1"/>
    <cellStyle name="סה&quot;כ" xfId="17" builtinId="25" customBuiltin="1"/>
    <cellStyle name="פלט" xfId="10" builtinId="21" customBuiltin="1"/>
    <cellStyle name="קלט" xfId="9" builtinId="20" customBuiltin="1"/>
    <cellStyle name="רע" xfId="7" builtinId="27" customBuiltin="1"/>
    <cellStyle name="תא מסומן" xfId="13" builtinId="23" customBuiltin="1"/>
    <cellStyle name="תא מקושר" xfId="12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13"/>
  <sheetViews>
    <sheetView rightToLeft="1" tabSelected="1" workbookViewId="0">
      <selection activeCell="I10" sqref="I10"/>
    </sheetView>
  </sheetViews>
  <sheetFormatPr defaultRowHeight="14.25" x14ac:dyDescent="0.2"/>
  <cols>
    <col min="1" max="1" width="41.75" customWidth="1"/>
    <col min="2" max="2" width="35.125" customWidth="1"/>
    <col min="3" max="3" width="15.25" customWidth="1"/>
    <col min="4" max="4" width="18.125" customWidth="1"/>
    <col min="5" max="5" width="9" style="3"/>
  </cols>
  <sheetData>
    <row r="1" spans="1:5" s="1" customFormat="1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 x14ac:dyDescent="0.2">
      <c r="A2" t="s">
        <v>5</v>
      </c>
      <c r="B2" t="s">
        <v>6</v>
      </c>
      <c r="C2" t="s">
        <v>7</v>
      </c>
      <c r="D2" t="s">
        <v>8</v>
      </c>
      <c r="E2" s="3" t="str">
        <f>HYPERLINK("http://www.otzar.org/book.asp?627080","אבינו מלכנו - ראש השנה ב")</f>
        <v>אבינו מלכנו - ראש השנה ב</v>
      </c>
    </row>
    <row r="3" spans="1:5" x14ac:dyDescent="0.2">
      <c r="A3" t="s">
        <v>9</v>
      </c>
      <c r="B3" t="s">
        <v>10</v>
      </c>
      <c r="C3" t="s">
        <v>11</v>
      </c>
      <c r="D3" t="s">
        <v>12</v>
      </c>
      <c r="E3" s="3" t="str">
        <f>HYPERLINK("http://www.otzar.org/book.asp?157288","אביעה חידות")</f>
        <v>אביעה חידות</v>
      </c>
    </row>
    <row r="4" spans="1:5" x14ac:dyDescent="0.2">
      <c r="A4" t="s">
        <v>13</v>
      </c>
      <c r="B4" t="s">
        <v>14</v>
      </c>
      <c r="C4" t="s">
        <v>15</v>
      </c>
      <c r="D4" t="s">
        <v>8</v>
      </c>
      <c r="E4" s="3" t="str">
        <f>HYPERLINK("http://www.otzar.org/book.asp?189062","אבני חן - תולדות משפחת חן לדורותיה")</f>
        <v>אבני חן - תולדות משפחת חן לדורותיה</v>
      </c>
    </row>
    <row r="5" spans="1:5" x14ac:dyDescent="0.2">
      <c r="A5" t="s">
        <v>16</v>
      </c>
      <c r="B5" t="s">
        <v>17</v>
      </c>
      <c r="C5" t="s">
        <v>18</v>
      </c>
      <c r="D5" t="s">
        <v>19</v>
      </c>
      <c r="E5" s="3" t="str">
        <f>HYPERLINK("http://www.otzar.org/book.asp?146317","אגודת חב""ד במדינות חבר העמים")</f>
        <v>אגודת חב"ד במדינות חבר העמים</v>
      </c>
    </row>
    <row r="6" spans="1:5" x14ac:dyDescent="0.2">
      <c r="A6" t="s">
        <v>20</v>
      </c>
      <c r="B6" t="s">
        <v>21</v>
      </c>
      <c r="C6" t="s">
        <v>22</v>
      </c>
      <c r="D6" t="s">
        <v>19</v>
      </c>
      <c r="E6" s="3" t="str">
        <f>HYPERLINK("http://www.otzar.org/book.asp?145965","אגלי נוחם")</f>
        <v>אגלי נוחם</v>
      </c>
    </row>
    <row r="7" spans="1:5" x14ac:dyDescent="0.2">
      <c r="A7" t="s">
        <v>23</v>
      </c>
      <c r="B7" t="s">
        <v>24</v>
      </c>
      <c r="C7" t="s">
        <v>25</v>
      </c>
      <c r="D7" t="s">
        <v>26</v>
      </c>
      <c r="E7" s="3" t="str">
        <f>HYPERLINK("http://www.otzar.org/book.asp?85382","אגרות בעל התניא ובני דורו")</f>
        <v>אגרות בעל התניא ובני דורו</v>
      </c>
    </row>
    <row r="8" spans="1:5" x14ac:dyDescent="0.2">
      <c r="A8" t="s">
        <v>27</v>
      </c>
      <c r="B8" t="s">
        <v>28</v>
      </c>
      <c r="C8" t="s">
        <v>11</v>
      </c>
      <c r="D8" t="s">
        <v>12</v>
      </c>
      <c r="E8" s="3" t="str">
        <f>HYPERLINK("http://www.otzar.org/book.asp?162911","אגרות חסיד")</f>
        <v>אגרות חסיד</v>
      </c>
    </row>
    <row r="9" spans="1:5" x14ac:dyDescent="0.2">
      <c r="A9" t="s">
        <v>29</v>
      </c>
      <c r="B9" t="s">
        <v>30</v>
      </c>
      <c r="C9" t="s">
        <v>31</v>
      </c>
      <c r="D9" t="s">
        <v>8</v>
      </c>
      <c r="E9" s="3" t="str">
        <f>HYPERLINK("http://www.otzar.org/book.asp?28715","אגרות מלך - 2 כר'")</f>
        <v>אגרות מלך - 2 כר'</v>
      </c>
    </row>
    <row r="10" spans="1:5" x14ac:dyDescent="0.2">
      <c r="A10" t="s">
        <v>32</v>
      </c>
      <c r="B10" t="s">
        <v>33</v>
      </c>
      <c r="C10" t="s">
        <v>34</v>
      </c>
      <c r="D10" t="s">
        <v>12</v>
      </c>
      <c r="E10" s="3" t="str">
        <f>HYPERLINK("http://www.otzar.org/book.asp?167738","אגרות נבחרות מתוך ספר אגרות קודש")</f>
        <v>אגרות נבחרות מתוך ספר אגרות קודש</v>
      </c>
    </row>
    <row r="11" spans="1:5" x14ac:dyDescent="0.2">
      <c r="A11" t="s">
        <v>35</v>
      </c>
      <c r="B11" t="s">
        <v>30</v>
      </c>
      <c r="C11" t="s">
        <v>36</v>
      </c>
      <c r="D11" t="s">
        <v>12</v>
      </c>
      <c r="E11" s="3" t="str">
        <f>HYPERLINK("http://www.otzar.org/book.asp?141491","אגרות קדש - 2 כר'")</f>
        <v>אגרות קדש - 2 כר'</v>
      </c>
    </row>
    <row r="12" spans="1:5" x14ac:dyDescent="0.2">
      <c r="A12" t="s">
        <v>37</v>
      </c>
      <c r="B12" t="s">
        <v>38</v>
      </c>
      <c r="C12" t="s">
        <v>39</v>
      </c>
      <c r="D12" t="s">
        <v>40</v>
      </c>
      <c r="E12" s="3" t="str">
        <f>HYPERLINK("http://www.otzar.org/book.asp?141691","אגרות קודש &lt;טקסט&gt; - כרך יד")</f>
        <v>אגרות קודש &lt;טקסט&gt; - כרך יד</v>
      </c>
    </row>
    <row r="13" spans="1:5" x14ac:dyDescent="0.2">
      <c r="A13" t="s">
        <v>41</v>
      </c>
      <c r="B13" t="s">
        <v>30</v>
      </c>
      <c r="C13" t="s">
        <v>39</v>
      </c>
      <c r="D13" t="s">
        <v>40</v>
      </c>
      <c r="E13" s="3" t="str">
        <f>HYPERLINK("http://www.otzar.org/book.asp?141708","אגרות קודש &lt;טקסט&gt; - 5 כר'")</f>
        <v>אגרות קודש &lt;טקסט&gt; - 5 כר'</v>
      </c>
    </row>
    <row r="14" spans="1:5" x14ac:dyDescent="0.2">
      <c r="A14" t="s">
        <v>42</v>
      </c>
      <c r="B14" t="s">
        <v>43</v>
      </c>
      <c r="C14" t="s">
        <v>44</v>
      </c>
      <c r="D14" t="s">
        <v>8</v>
      </c>
      <c r="E14" s="3" t="str">
        <f>HYPERLINK("http://www.otzar.org/book.asp?195649","אגרות קודש (אדמו""ר האמצעי)")</f>
        <v>אגרות קודש (אדמו"ר האמצעי)</v>
      </c>
    </row>
    <row r="15" spans="1:5" x14ac:dyDescent="0.2">
      <c r="A15" t="s">
        <v>45</v>
      </c>
      <c r="B15" t="s">
        <v>46</v>
      </c>
      <c r="C15" t="s">
        <v>47</v>
      </c>
      <c r="D15" t="s">
        <v>8</v>
      </c>
      <c r="E15" s="3" t="str">
        <f>HYPERLINK("http://www.otzar.org/book.asp?27156","אגרות קודש (אדמו""ר הזקן, האמצעי, והצ""צ) - 2 כר'")</f>
        <v>אגרות קודש (אדמו"ר הזקן, האמצעי, והצ"צ) - 2 כר'</v>
      </c>
    </row>
    <row r="16" spans="1:5" x14ac:dyDescent="0.2">
      <c r="A16" t="s">
        <v>48</v>
      </c>
      <c r="B16" t="s">
        <v>30</v>
      </c>
      <c r="C16" t="s">
        <v>49</v>
      </c>
      <c r="D16" t="s">
        <v>12</v>
      </c>
      <c r="E16" s="3" t="str">
        <f>HYPERLINK("http://www.otzar.org/book.asp?146337","אגרות קודש בנושא החינוך")</f>
        <v>אגרות קודש בנושא החינוך</v>
      </c>
    </row>
    <row r="17" spans="1:5" x14ac:dyDescent="0.2">
      <c r="A17" t="s">
        <v>50</v>
      </c>
      <c r="B17" t="s">
        <v>51</v>
      </c>
      <c r="C17" t="s">
        <v>52</v>
      </c>
      <c r="D17" t="s">
        <v>19</v>
      </c>
      <c r="E17" s="3" t="str">
        <f>HYPERLINK("http://www.otzar.org/book.asp?27666","אגרות קודש בענין בטחון בה'")</f>
        <v>אגרות קודש בענין בטחון בה'</v>
      </c>
    </row>
    <row r="18" spans="1:5" x14ac:dyDescent="0.2">
      <c r="A18" t="s">
        <v>53</v>
      </c>
      <c r="B18" t="s">
        <v>24</v>
      </c>
      <c r="C18" t="s">
        <v>54</v>
      </c>
      <c r="D18" t="s">
        <v>8</v>
      </c>
      <c r="E18" s="3" t="str">
        <f>HYPERLINK("http://www.otzar.org/book.asp?169955","אגרות קודש מאת כ""ק אדמו""ר הזקן")</f>
        <v>אגרות קודש מאת כ"ק אדמו"ר הזקן</v>
      </c>
    </row>
    <row r="19" spans="1:5" x14ac:dyDescent="0.2">
      <c r="A19" t="s">
        <v>55</v>
      </c>
      <c r="B19" t="s">
        <v>30</v>
      </c>
      <c r="C19" t="s">
        <v>52</v>
      </c>
      <c r="D19" t="s">
        <v>8</v>
      </c>
      <c r="E19" s="3" t="str">
        <f>HYPERLINK("http://www.otzar.org/book.asp?27249","אגרות קודש מתורגמות - 4 כר'")</f>
        <v>אגרות קודש מתורגמות - 4 כר'</v>
      </c>
    </row>
    <row r="20" spans="1:5" x14ac:dyDescent="0.2">
      <c r="A20" t="s">
        <v>56</v>
      </c>
      <c r="B20" t="s">
        <v>57</v>
      </c>
      <c r="C20" t="s">
        <v>58</v>
      </c>
      <c r="D20" t="s">
        <v>8</v>
      </c>
      <c r="E20" s="3" t="str">
        <f>HYPERLINK("http://www.otzar.org/book.asp?141469","אגרות קודש - קונטרס מילואים")</f>
        <v>אגרות קודש - קונטרס מילואים</v>
      </c>
    </row>
    <row r="21" spans="1:5" x14ac:dyDescent="0.2">
      <c r="A21" t="s">
        <v>59</v>
      </c>
      <c r="B21" t="s">
        <v>38</v>
      </c>
      <c r="C21" t="s">
        <v>60</v>
      </c>
      <c r="D21" t="s">
        <v>8</v>
      </c>
      <c r="E21" s="3" t="str">
        <f>HYPERLINK("http://www.otzar.org/book.asp?26446","אגרות קודש - 17 כר'")</f>
        <v>אגרות קודש - 17 כר'</v>
      </c>
    </row>
    <row r="22" spans="1:5" x14ac:dyDescent="0.2">
      <c r="A22" t="s">
        <v>61</v>
      </c>
      <c r="B22" t="s">
        <v>30</v>
      </c>
      <c r="C22" t="s">
        <v>47</v>
      </c>
      <c r="D22" t="s">
        <v>8</v>
      </c>
      <c r="E22" s="3" t="str">
        <f>HYPERLINK("http://www.otzar.org/book.asp?26608","אגרות קודש - 33 כר'")</f>
        <v>אגרות קודש - 33 כר'</v>
      </c>
    </row>
    <row r="23" spans="1:5" x14ac:dyDescent="0.2">
      <c r="A23" t="s">
        <v>46</v>
      </c>
      <c r="B23" t="s">
        <v>62</v>
      </c>
      <c r="C23" t="s">
        <v>44</v>
      </c>
      <c r="D23" t="s">
        <v>8</v>
      </c>
      <c r="E23" s="3" t="str">
        <f>HYPERLINK("http://www.otzar.org/book.asp?175893","אגרות קודש")</f>
        <v>אגרות קודש</v>
      </c>
    </row>
    <row r="24" spans="1:5" x14ac:dyDescent="0.2">
      <c r="A24" t="s">
        <v>63</v>
      </c>
      <c r="B24" t="s">
        <v>64</v>
      </c>
      <c r="C24" t="s">
        <v>65</v>
      </c>
      <c r="D24" t="s">
        <v>8</v>
      </c>
      <c r="E24" s="3" t="str">
        <f>HYPERLINK("http://www.otzar.org/book.asp?27008","אגרות קודש - 6 כר'")</f>
        <v>אגרות קודש - 6 כר'</v>
      </c>
    </row>
    <row r="25" spans="1:5" x14ac:dyDescent="0.2">
      <c r="A25" t="s">
        <v>46</v>
      </c>
      <c r="B25" t="s">
        <v>66</v>
      </c>
      <c r="C25" t="s">
        <v>67</v>
      </c>
      <c r="D25" t="s">
        <v>8</v>
      </c>
      <c r="E25" s="3" t="str">
        <f>HYPERLINK("http://www.otzar.org/book.asp?27152","אגרות קודש")</f>
        <v>אגרות קודש</v>
      </c>
    </row>
    <row r="26" spans="1:5" x14ac:dyDescent="0.2">
      <c r="A26" t="s">
        <v>68</v>
      </c>
      <c r="B26" t="s">
        <v>69</v>
      </c>
      <c r="C26" t="s">
        <v>70</v>
      </c>
      <c r="D26" t="s">
        <v>71</v>
      </c>
      <c r="E26" s="3" t="str">
        <f>HYPERLINK("http://www.otzar.org/book.asp?141492","אגרות רבינו משה בן מימון")</f>
        <v>אגרות רבינו משה בן מימון</v>
      </c>
    </row>
    <row r="27" spans="1:5" x14ac:dyDescent="0.2">
      <c r="A27" t="s">
        <v>72</v>
      </c>
      <c r="B27" t="s">
        <v>24</v>
      </c>
      <c r="C27" t="s">
        <v>73</v>
      </c>
      <c r="D27" t="s">
        <v>40</v>
      </c>
      <c r="E27" s="3" t="str">
        <f>HYPERLINK("http://www.otzar.org/book.asp?181493","אגרת הקדש עם ביאור המאור שבתורה - 2 כר'")</f>
        <v>אגרת הקדש עם ביאור המאור שבתורה - 2 כר'</v>
      </c>
    </row>
    <row r="28" spans="1:5" x14ac:dyDescent="0.2">
      <c r="A28" t="s">
        <v>74</v>
      </c>
      <c r="B28" t="s">
        <v>75</v>
      </c>
      <c r="C28" t="s">
        <v>76</v>
      </c>
      <c r="D28" t="s">
        <v>19</v>
      </c>
      <c r="E28" s="3" t="str">
        <f>HYPERLINK("http://www.otzar.org/book.asp?28764","אגרת התשובה עם ביאור השווה לכל נפש")</f>
        <v>אגרת התשובה עם ביאור השווה לכל נפש</v>
      </c>
    </row>
    <row r="29" spans="1:5" x14ac:dyDescent="0.2">
      <c r="A29" t="s">
        <v>77</v>
      </c>
      <c r="B29" t="s">
        <v>78</v>
      </c>
      <c r="C29" t="s">
        <v>34</v>
      </c>
      <c r="D29" t="s">
        <v>19</v>
      </c>
      <c r="E29" s="3" t="str">
        <f>HYPERLINK("http://www.otzar.org/book.asp?157287","אגרת התשובה עם ביאורי הרבי מליובאוויטש")</f>
        <v>אגרת התשובה עם ביאורי הרבי מליובאוויטש</v>
      </c>
    </row>
    <row r="30" spans="1:5" x14ac:dyDescent="0.2">
      <c r="A30" t="s">
        <v>79</v>
      </c>
      <c r="B30" t="s">
        <v>24</v>
      </c>
      <c r="C30" t="s">
        <v>73</v>
      </c>
      <c r="D30" t="s">
        <v>80</v>
      </c>
      <c r="E30" s="3" t="str">
        <f>HYPERLINK("http://www.otzar.org/book.asp?195722","אגרת התשובה עם פירוש ועיונים")</f>
        <v>אגרת התשובה עם פירוש ועיונים</v>
      </c>
    </row>
    <row r="31" spans="1:5" x14ac:dyDescent="0.2">
      <c r="A31" t="s">
        <v>81</v>
      </c>
      <c r="B31" t="s">
        <v>30</v>
      </c>
      <c r="C31" t="s">
        <v>82</v>
      </c>
      <c r="D31" t="s">
        <v>83</v>
      </c>
      <c r="E31" s="3" t="str">
        <f>HYPERLINK("http://www.otzar.org/book.asp?606922","אגרת מבוארת - 3 כר'")</f>
        <v>אגרת מבוארת - 3 כר'</v>
      </c>
    </row>
    <row r="32" spans="1:5" x14ac:dyDescent="0.2">
      <c r="A32" t="s">
        <v>84</v>
      </c>
      <c r="B32" t="s">
        <v>85</v>
      </c>
      <c r="C32" t="s">
        <v>86</v>
      </c>
      <c r="D32" t="s">
        <v>8</v>
      </c>
      <c r="E32" s="3" t="str">
        <f>HYPERLINK("http://www.otzar.org/book.asp?607830","אדמו""ר האמצעי")</f>
        <v>אדמו"ר האמצעי</v>
      </c>
    </row>
    <row r="33" spans="1:5" x14ac:dyDescent="0.2">
      <c r="A33" t="s">
        <v>87</v>
      </c>
      <c r="B33" t="s">
        <v>38</v>
      </c>
      <c r="C33" t="s">
        <v>88</v>
      </c>
      <c r="D33" t="s">
        <v>8</v>
      </c>
      <c r="E33" s="3" t="str">
        <f>HYPERLINK("http://www.otzar.org/book.asp?26458","אדמו""ר הצמח צדק ותנועת ההשכלה (הוצאה ה')")</f>
        <v>אדמו"ר הצמח צדק ותנועת ההשכלה (הוצאה ה')</v>
      </c>
    </row>
    <row r="34" spans="1:5" x14ac:dyDescent="0.2">
      <c r="A34" t="s">
        <v>89</v>
      </c>
      <c r="B34" t="s">
        <v>38</v>
      </c>
      <c r="C34" t="s">
        <v>82</v>
      </c>
      <c r="D34" t="s">
        <v>8</v>
      </c>
      <c r="E34" s="3" t="str">
        <f>HYPERLINK("http://www.otzar.org/book.asp?607816","אדמו""ר הצמח צדק ותנועת ההשכלה (הוצאה ו')")</f>
        <v>אדמו"ר הצמח צדק ותנועת ההשכלה (הוצאה ו')</v>
      </c>
    </row>
    <row r="35" spans="1:5" x14ac:dyDescent="0.2">
      <c r="A35" t="s">
        <v>90</v>
      </c>
      <c r="B35" t="s">
        <v>38</v>
      </c>
      <c r="C35" t="s">
        <v>91</v>
      </c>
      <c r="D35" t="s">
        <v>92</v>
      </c>
      <c r="E35" s="3" t="str">
        <f>HYPERLINK("http://www.otzar.org/book.asp?107120","אדמו""ר הצמח צדק ותנועת ההשכלה")</f>
        <v>אדמו"ר הצמח צדק ותנועת ההשכלה</v>
      </c>
    </row>
    <row r="36" spans="1:5" x14ac:dyDescent="0.2">
      <c r="A36" t="s">
        <v>93</v>
      </c>
      <c r="B36" t="s">
        <v>94</v>
      </c>
      <c r="C36" t="s">
        <v>73</v>
      </c>
      <c r="D36" t="s">
        <v>95</v>
      </c>
      <c r="E36" s="3" t="str">
        <f>HYPERLINK("http://www.otzar.org/book.asp?181117","אדמו""רי חב""ד ויהדות אוסטריה")</f>
        <v>אדמו"רי חב"ד ויהדות אוסטריה</v>
      </c>
    </row>
    <row r="37" spans="1:5" x14ac:dyDescent="0.2">
      <c r="A37" t="s">
        <v>96</v>
      </c>
      <c r="B37" t="s">
        <v>97</v>
      </c>
      <c r="C37" t="s">
        <v>82</v>
      </c>
      <c r="D37" t="s">
        <v>98</v>
      </c>
      <c r="E37" s="3" t="str">
        <f>HYPERLINK("http://www.otzar.org/book.asp?607914","אדמו""רי חב""ד ויהדות בוכרה")</f>
        <v>אדמו"רי חב"ד ויהדות בוכרה</v>
      </c>
    </row>
    <row r="38" spans="1:5" x14ac:dyDescent="0.2">
      <c r="A38" t="s">
        <v>99</v>
      </c>
      <c r="B38" t="s">
        <v>100</v>
      </c>
      <c r="C38" t="s">
        <v>82</v>
      </c>
      <c r="D38" t="s">
        <v>101</v>
      </c>
      <c r="E38" s="3" t="str">
        <f>HYPERLINK("http://www.otzar.org/book.asp?607868","אדמו""רי חב""ד ויהדות גרוזיה")</f>
        <v>אדמו"רי חב"ד ויהדות גרוזיה</v>
      </c>
    </row>
    <row r="39" spans="1:5" x14ac:dyDescent="0.2">
      <c r="A39" t="s">
        <v>102</v>
      </c>
      <c r="B39" t="s">
        <v>103</v>
      </c>
      <c r="C39" t="s">
        <v>39</v>
      </c>
      <c r="D39" t="s">
        <v>40</v>
      </c>
      <c r="E39" s="3" t="str">
        <f>HYPERLINK("http://www.otzar.org/book.asp?142330","אדמו""רי חב""ד ויהדות גרמניה")</f>
        <v>אדמו"רי חב"ד ויהדות גרמניה</v>
      </c>
    </row>
    <row r="40" spans="1:5" x14ac:dyDescent="0.2">
      <c r="A40" t="s">
        <v>104</v>
      </c>
      <c r="B40" t="s">
        <v>105</v>
      </c>
      <c r="C40" t="s">
        <v>82</v>
      </c>
      <c r="D40" t="s">
        <v>80</v>
      </c>
      <c r="E40" s="3" t="str">
        <f>HYPERLINK("http://www.otzar.org/book.asp?607877","אדמו""רי חב""ד ויהדות קרים")</f>
        <v>אדמו"רי חב"ד ויהדות קרים</v>
      </c>
    </row>
    <row r="41" spans="1:5" x14ac:dyDescent="0.2">
      <c r="A41" t="s">
        <v>106</v>
      </c>
      <c r="B41" t="s">
        <v>103</v>
      </c>
      <c r="C41" t="s">
        <v>44</v>
      </c>
      <c r="D41" t="s">
        <v>40</v>
      </c>
      <c r="E41" s="3" t="str">
        <f>HYPERLINK("http://www.otzar.org/book.asp?614918","אדמו""רי חב""ד ויהדות רומניה")</f>
        <v>אדמו"רי חב"ד ויהדות רומניה</v>
      </c>
    </row>
    <row r="42" spans="1:5" x14ac:dyDescent="0.2">
      <c r="A42" t="s">
        <v>107</v>
      </c>
      <c r="B42" t="s">
        <v>108</v>
      </c>
      <c r="C42" t="s">
        <v>65</v>
      </c>
      <c r="D42" t="s">
        <v>109</v>
      </c>
      <c r="E42" s="3" t="str">
        <f>HYPERLINK("http://www.otzar.org/book.asp?27287","אהבת המלך")</f>
        <v>אהבת המלך</v>
      </c>
    </row>
    <row r="43" spans="1:5" x14ac:dyDescent="0.2">
      <c r="A43" t="s">
        <v>110</v>
      </c>
      <c r="B43" t="s">
        <v>108</v>
      </c>
      <c r="C43" t="s">
        <v>111</v>
      </c>
      <c r="D43" t="s">
        <v>112</v>
      </c>
      <c r="E43" s="3" t="str">
        <f>HYPERLINK("http://www.otzar.org/book.asp?141242","אהבת ישראל - 16 כר'")</f>
        <v>אהבת ישראל - 16 כר'</v>
      </c>
    </row>
    <row r="44" spans="1:5" x14ac:dyDescent="0.2">
      <c r="A44" t="s">
        <v>113</v>
      </c>
      <c r="B44" t="s">
        <v>114</v>
      </c>
      <c r="C44" t="s">
        <v>115</v>
      </c>
      <c r="D44" t="s">
        <v>116</v>
      </c>
      <c r="E44" s="3" t="str">
        <f>HYPERLINK("http://www.otzar.org/book.asp?104937","אהלה של תורה - 2 כר'")</f>
        <v>אהלה של תורה - 2 כר'</v>
      </c>
    </row>
    <row r="45" spans="1:5" x14ac:dyDescent="0.2">
      <c r="A45" t="s">
        <v>117</v>
      </c>
      <c r="B45" t="s">
        <v>118</v>
      </c>
      <c r="C45" t="s">
        <v>119</v>
      </c>
      <c r="D45" t="s">
        <v>12</v>
      </c>
      <c r="E45" s="3" t="str">
        <f>HYPERLINK("http://www.otzar.org/book.asp?26986","אהלי ליובאוויטש - 4 כר'")</f>
        <v>אהלי ליובאוויטש - 4 כר'</v>
      </c>
    </row>
    <row r="46" spans="1:5" x14ac:dyDescent="0.2">
      <c r="A46" t="s">
        <v>120</v>
      </c>
      <c r="B46" t="s">
        <v>121</v>
      </c>
      <c r="C46" t="s">
        <v>122</v>
      </c>
      <c r="D46" t="s">
        <v>12</v>
      </c>
      <c r="E46" s="3" t="str">
        <f>HYPERLINK("http://www.otzar.org/book.asp?16598","אהלי שם - 9 כר'")</f>
        <v>אהלי שם - 9 כר'</v>
      </c>
    </row>
    <row r="47" spans="1:5" x14ac:dyDescent="0.2">
      <c r="A47" t="s">
        <v>123</v>
      </c>
      <c r="B47" t="s">
        <v>124</v>
      </c>
      <c r="C47" t="s">
        <v>115</v>
      </c>
      <c r="D47" t="s">
        <v>8</v>
      </c>
      <c r="E47" s="3" t="str">
        <f>HYPERLINK("http://www.otzar.org/book.asp?145425","אהלי תורה - 21 כר'")</f>
        <v>אהלי תורה - 21 כר'</v>
      </c>
    </row>
    <row r="48" spans="1:5" x14ac:dyDescent="0.2">
      <c r="A48" t="s">
        <v>125</v>
      </c>
      <c r="B48" t="s">
        <v>108</v>
      </c>
      <c r="C48" t="s">
        <v>126</v>
      </c>
      <c r="D48" t="s">
        <v>12</v>
      </c>
      <c r="E48" s="3" t="str">
        <f>HYPERLINK("http://www.otzar.org/book.asp?146309","אהלי תורה - 3 כר'")</f>
        <v>אהלי תורה - 3 כר'</v>
      </c>
    </row>
    <row r="49" spans="1:5" x14ac:dyDescent="0.2">
      <c r="A49" t="s">
        <v>127</v>
      </c>
      <c r="B49" t="s">
        <v>128</v>
      </c>
      <c r="C49" t="s">
        <v>129</v>
      </c>
      <c r="D49" t="s">
        <v>80</v>
      </c>
      <c r="E49" s="3" t="str">
        <f>HYPERLINK("http://www.otzar.org/book.asp?607933","אוהב עמו ישראל")</f>
        <v>אוהב עמו ישראל</v>
      </c>
    </row>
    <row r="50" spans="1:5" x14ac:dyDescent="0.2">
      <c r="A50" t="s">
        <v>130</v>
      </c>
      <c r="B50" t="s">
        <v>131</v>
      </c>
      <c r="C50" t="s">
        <v>132</v>
      </c>
      <c r="D50" t="s">
        <v>8</v>
      </c>
      <c r="E50" s="3" t="str">
        <f>HYPERLINK("http://www.otzar.org/book.asp?27379","אונזער בוך - 2 כר'")</f>
        <v>אונזער בוך - 2 כר'</v>
      </c>
    </row>
    <row r="51" spans="1:5" x14ac:dyDescent="0.2">
      <c r="A51" t="s">
        <v>133</v>
      </c>
      <c r="B51" t="s">
        <v>134</v>
      </c>
      <c r="C51" t="s">
        <v>67</v>
      </c>
      <c r="E51" s="3" t="str">
        <f>HYPERLINK("http://www.otzar.org/book.asp?141640","אוסף תמונות מבית חב""ד")</f>
        <v>אוסף תמונות מבית חב"ד</v>
      </c>
    </row>
    <row r="52" spans="1:5" x14ac:dyDescent="0.2">
      <c r="A52" t="s">
        <v>135</v>
      </c>
      <c r="B52" t="s">
        <v>33</v>
      </c>
      <c r="C52" t="s">
        <v>129</v>
      </c>
      <c r="E52" s="3" t="str">
        <f>HYPERLINK("http://www.otzar.org/book.asp?140965","אוסף תמונות של הרבי")</f>
        <v>אוסף תמונות של הרבי</v>
      </c>
    </row>
    <row r="53" spans="1:5" x14ac:dyDescent="0.2">
      <c r="A53" t="s">
        <v>136</v>
      </c>
      <c r="B53" t="s">
        <v>30</v>
      </c>
      <c r="C53" t="s">
        <v>73</v>
      </c>
      <c r="D53" t="s">
        <v>8</v>
      </c>
      <c r="E53" s="3" t="str">
        <f>HYPERLINK("http://www.otzar.org/book.asp?181116","אוצר אגרות קודש")</f>
        <v>אוצר אגרות קודש</v>
      </c>
    </row>
    <row r="54" spans="1:5" x14ac:dyDescent="0.2">
      <c r="A54" t="s">
        <v>137</v>
      </c>
      <c r="B54" t="s">
        <v>138</v>
      </c>
      <c r="C54" t="s">
        <v>76</v>
      </c>
      <c r="D54" t="s">
        <v>139</v>
      </c>
      <c r="E54" s="3" t="str">
        <f>HYPERLINK("http://www.otzar.org/book.asp?607946","אוצר החסידים")</f>
        <v>אוצר החסידים</v>
      </c>
    </row>
    <row r="55" spans="1:5" x14ac:dyDescent="0.2">
      <c r="A55" t="s">
        <v>140</v>
      </c>
      <c r="B55" t="s">
        <v>30</v>
      </c>
      <c r="C55" t="s">
        <v>73</v>
      </c>
      <c r="D55" t="s">
        <v>8</v>
      </c>
      <c r="E55" s="3" t="str">
        <f>HYPERLINK("http://www.otzar.org/book.asp?181094","אוצר התוועדויות - 2 כר'")</f>
        <v>אוצר התוועדויות - 2 כר'</v>
      </c>
    </row>
    <row r="56" spans="1:5" x14ac:dyDescent="0.2">
      <c r="A56" t="s">
        <v>141</v>
      </c>
      <c r="B56" t="s">
        <v>30</v>
      </c>
      <c r="C56" t="s">
        <v>142</v>
      </c>
      <c r="D56" t="s">
        <v>8</v>
      </c>
      <c r="E56" s="3" t="str">
        <f>HYPERLINK("http://www.otzar.org/book.asp?613920","אוצר לקוטי שיחות - 2 כר'")</f>
        <v>אוצר לקוטי שיחות - 2 כר'</v>
      </c>
    </row>
    <row r="57" spans="1:5" x14ac:dyDescent="0.2">
      <c r="A57" t="s">
        <v>143</v>
      </c>
      <c r="B57" t="s">
        <v>30</v>
      </c>
      <c r="C57" t="s">
        <v>44</v>
      </c>
      <c r="D57" t="s">
        <v>8</v>
      </c>
      <c r="E57" s="3" t="str">
        <f>HYPERLINK("http://www.otzar.org/book.asp?173497","אוצר מאמרי חסידות")</f>
        <v>אוצר מאמרי חסידות</v>
      </c>
    </row>
    <row r="58" spans="1:5" x14ac:dyDescent="0.2">
      <c r="A58" t="s">
        <v>144</v>
      </c>
      <c r="B58" t="s">
        <v>145</v>
      </c>
      <c r="C58" t="s">
        <v>119</v>
      </c>
      <c r="D58" t="s">
        <v>40</v>
      </c>
      <c r="E58" s="3" t="str">
        <f>HYPERLINK("http://www.otzar.org/book.asp?22076","אוצר מנהגי חב""ד - 2 כר'")</f>
        <v>אוצר מנהגי חב"ד - 2 כר'</v>
      </c>
    </row>
    <row r="59" spans="1:5" x14ac:dyDescent="0.2">
      <c r="A59" t="s">
        <v>146</v>
      </c>
      <c r="B59" t="s">
        <v>147</v>
      </c>
      <c r="C59" t="s">
        <v>148</v>
      </c>
      <c r="D59" t="s">
        <v>40</v>
      </c>
      <c r="E59" s="3" t="str">
        <f>HYPERLINK("http://www.otzar.org/book.asp?28804","אוצר מנהגים והוראות - יו""ד")</f>
        <v>אוצר מנהגים והוראות - יו"ד</v>
      </c>
    </row>
    <row r="60" spans="1:5" x14ac:dyDescent="0.2">
      <c r="A60" t="s">
        <v>149</v>
      </c>
      <c r="B60" t="s">
        <v>38</v>
      </c>
      <c r="C60" t="s">
        <v>7</v>
      </c>
      <c r="D60" t="s">
        <v>8</v>
      </c>
      <c r="E60" s="3" t="str">
        <f>HYPERLINK("http://www.otzar.org/book.asp?622501","אוצר מרשימות הרבי הריי""ץ")</f>
        <v>אוצר מרשימות הרבי הריי"ץ</v>
      </c>
    </row>
    <row r="61" spans="1:5" x14ac:dyDescent="0.2">
      <c r="A61" t="s">
        <v>150</v>
      </c>
      <c r="B61" t="s">
        <v>151</v>
      </c>
      <c r="C61" t="s">
        <v>152</v>
      </c>
      <c r="D61" t="s">
        <v>12</v>
      </c>
      <c r="E61" s="3" t="str">
        <f>HYPERLINK("http://www.otzar.org/book.asp?27042","אוצר סיפורי חב""ד - 16 כר'")</f>
        <v>אוצר סיפורי חב"ד - 16 כר'</v>
      </c>
    </row>
    <row r="62" spans="1:5" x14ac:dyDescent="0.2">
      <c r="A62" t="s">
        <v>153</v>
      </c>
      <c r="B62" t="s">
        <v>154</v>
      </c>
      <c r="C62" t="s">
        <v>155</v>
      </c>
      <c r="D62" t="s">
        <v>8</v>
      </c>
      <c r="E62" s="3" t="str">
        <f>HYPERLINK("http://www.otzar.org/book.asp?146367","אוצר סיפורי ליובאוויטש - א")</f>
        <v>אוצר סיפורי ליובאוויטש - א</v>
      </c>
    </row>
    <row r="63" spans="1:5" x14ac:dyDescent="0.2">
      <c r="A63" t="s">
        <v>156</v>
      </c>
      <c r="B63" t="s">
        <v>157</v>
      </c>
      <c r="C63" t="s">
        <v>73</v>
      </c>
      <c r="D63" t="s">
        <v>8</v>
      </c>
      <c r="E63" s="3" t="str">
        <f>HYPERLINK("http://www.otzar.org/book.asp?181107","אוצר פתגמי חב""ד - 4 כר'")</f>
        <v>אוצר פתגמי חב"ד - 4 כר'</v>
      </c>
    </row>
    <row r="64" spans="1:5" x14ac:dyDescent="0.2">
      <c r="A64" t="s">
        <v>158</v>
      </c>
      <c r="B64" t="s">
        <v>30</v>
      </c>
      <c r="C64" t="s">
        <v>86</v>
      </c>
      <c r="D64" t="s">
        <v>8</v>
      </c>
      <c r="E64" s="3" t="str">
        <f>HYPERLINK("http://www.otzar.org/book.asp?144965","אוצר רשימות")</f>
        <v>אוצר רשימות</v>
      </c>
    </row>
    <row r="65" spans="1:5" x14ac:dyDescent="0.2">
      <c r="A65" t="s">
        <v>159</v>
      </c>
      <c r="B65" t="s">
        <v>160</v>
      </c>
      <c r="C65" t="s">
        <v>161</v>
      </c>
      <c r="D65" t="s">
        <v>162</v>
      </c>
      <c r="E65" s="3" t="str">
        <f>HYPERLINK("http://www.otzar.org/book.asp?607935","אוצר שנים מקרא ואחד תרגום")</f>
        <v>אוצר שנים מקרא ואחד תרגום</v>
      </c>
    </row>
    <row r="66" spans="1:5" x14ac:dyDescent="0.2">
      <c r="A66" t="s">
        <v>163</v>
      </c>
      <c r="B66" t="s">
        <v>164</v>
      </c>
      <c r="C66" t="s">
        <v>165</v>
      </c>
      <c r="D66" t="s">
        <v>166</v>
      </c>
      <c r="E66" s="3" t="str">
        <f>HYPERLINK("http://www.otzar.org/book.asp?27299","אוצרות הבעל שם טוב - 2 כר'")</f>
        <v>אוצרות הבעל שם טוב - 2 כר'</v>
      </c>
    </row>
    <row r="67" spans="1:5" x14ac:dyDescent="0.2">
      <c r="A67" t="s">
        <v>167</v>
      </c>
      <c r="B67" t="s">
        <v>168</v>
      </c>
      <c r="C67" t="s">
        <v>82</v>
      </c>
      <c r="D67" t="s">
        <v>116</v>
      </c>
      <c r="E67" s="3" t="str">
        <f>HYPERLINK("http://www.otzar.org/book.asp?607924","אוצרות ההגדה לתלמיד")</f>
        <v>אוצרות ההגדה לתלמיד</v>
      </c>
    </row>
    <row r="68" spans="1:5" x14ac:dyDescent="0.2">
      <c r="A68" t="s">
        <v>169</v>
      </c>
      <c r="B68" t="s">
        <v>170</v>
      </c>
      <c r="C68" t="s">
        <v>73</v>
      </c>
      <c r="D68" t="s">
        <v>8</v>
      </c>
      <c r="E68" s="3" t="str">
        <f>HYPERLINK("http://www.otzar.org/book.asp?181089","אוצרות ההגדה")</f>
        <v>אוצרות ההגדה</v>
      </c>
    </row>
    <row r="69" spans="1:5" x14ac:dyDescent="0.2">
      <c r="A69" t="s">
        <v>171</v>
      </c>
      <c r="B69" t="s">
        <v>172</v>
      </c>
      <c r="C69" t="s">
        <v>142</v>
      </c>
      <c r="D69" t="s">
        <v>12</v>
      </c>
      <c r="E69" s="3" t="str">
        <f>HYPERLINK("http://www.otzar.org/book.asp?615057","אוצרות המגילה - מגילת אסתר")</f>
        <v>אוצרות המגילה - מגילת אסתר</v>
      </c>
    </row>
    <row r="70" spans="1:5" x14ac:dyDescent="0.2">
      <c r="A70" t="s">
        <v>173</v>
      </c>
      <c r="B70" t="s">
        <v>30</v>
      </c>
      <c r="C70" t="s">
        <v>15</v>
      </c>
      <c r="D70" t="s">
        <v>12</v>
      </c>
      <c r="E70" s="3" t="str">
        <f>HYPERLINK("http://www.otzar.org/book.asp?614911","אוצרות המועדים - 3 כר'")</f>
        <v>אוצרות המועדים - 3 כר'</v>
      </c>
    </row>
    <row r="71" spans="1:5" x14ac:dyDescent="0.2">
      <c r="A71" t="s">
        <v>174</v>
      </c>
      <c r="B71" t="s">
        <v>175</v>
      </c>
      <c r="C71" t="s">
        <v>176</v>
      </c>
      <c r="D71" t="s">
        <v>8</v>
      </c>
      <c r="E71" s="3" t="str">
        <f>HYPERLINK("http://www.otzar.org/book.asp?141343","אוצרות השעורים")</f>
        <v>אוצרות השעורים</v>
      </c>
    </row>
    <row r="72" spans="1:5" x14ac:dyDescent="0.2">
      <c r="A72" t="s">
        <v>177</v>
      </c>
      <c r="B72" t="s">
        <v>178</v>
      </c>
      <c r="C72" t="s">
        <v>129</v>
      </c>
      <c r="D72" t="s">
        <v>12</v>
      </c>
      <c r="E72" s="3" t="str">
        <f>HYPERLINK("http://www.otzar.org/book.asp?27295","אוצרות חסידיים - 2 כר'")</f>
        <v>אוצרות חסידיים - 2 כר'</v>
      </c>
    </row>
    <row r="73" spans="1:5" x14ac:dyDescent="0.2">
      <c r="A73" t="s">
        <v>179</v>
      </c>
      <c r="B73" t="s">
        <v>180</v>
      </c>
      <c r="C73" t="s">
        <v>52</v>
      </c>
      <c r="D73" t="s">
        <v>181</v>
      </c>
      <c r="E73" s="3" t="str">
        <f>HYPERLINK("http://www.otzar.org/book.asp?160948","אור אבנר")</f>
        <v>אור אבנר</v>
      </c>
    </row>
    <row r="74" spans="1:5" x14ac:dyDescent="0.2">
      <c r="A74" t="s">
        <v>182</v>
      </c>
      <c r="B74" t="s">
        <v>164</v>
      </c>
      <c r="C74" t="s">
        <v>183</v>
      </c>
      <c r="D74" t="s">
        <v>12</v>
      </c>
      <c r="E74" s="3" t="str">
        <f>HYPERLINK("http://www.otzar.org/book.asp?27421","אור הבית - 2 כר'")</f>
        <v>אור הבית - 2 כר'</v>
      </c>
    </row>
    <row r="75" spans="1:5" x14ac:dyDescent="0.2">
      <c r="A75" t="s">
        <v>184</v>
      </c>
      <c r="B75" t="s">
        <v>108</v>
      </c>
      <c r="C75" t="s">
        <v>49</v>
      </c>
      <c r="D75" t="s">
        <v>185</v>
      </c>
      <c r="E75" s="3" t="str">
        <f>HYPERLINK("http://www.otzar.org/book.asp?27387","אור הדרום - 2 כר'")</f>
        <v>אור הדרום - 2 כר'</v>
      </c>
    </row>
    <row r="76" spans="1:5" x14ac:dyDescent="0.2">
      <c r="A76" t="s">
        <v>186</v>
      </c>
      <c r="B76" t="s">
        <v>187</v>
      </c>
      <c r="C76" t="s">
        <v>39</v>
      </c>
      <c r="D76" t="s">
        <v>26</v>
      </c>
      <c r="E76" s="3" t="str">
        <f>HYPERLINK("http://www.otzar.org/book.asp?606194","אור החכמה")</f>
        <v>אור החכמה</v>
      </c>
    </row>
    <row r="77" spans="1:5" x14ac:dyDescent="0.2">
      <c r="A77" t="s">
        <v>188</v>
      </c>
      <c r="B77" t="s">
        <v>189</v>
      </c>
      <c r="C77" t="s">
        <v>49</v>
      </c>
      <c r="D77" t="s">
        <v>12</v>
      </c>
      <c r="E77" s="3" t="str">
        <f>HYPERLINK("http://www.otzar.org/book.asp?141504","אור החסידות")</f>
        <v>אור החסידות</v>
      </c>
    </row>
    <row r="78" spans="1:5" x14ac:dyDescent="0.2">
      <c r="A78" t="s">
        <v>190</v>
      </c>
      <c r="B78" t="s">
        <v>33</v>
      </c>
      <c r="C78" t="s">
        <v>191</v>
      </c>
      <c r="D78" t="s">
        <v>192</v>
      </c>
      <c r="E78" s="3" t="str">
        <f>HYPERLINK("http://www.otzar.org/book.asp?160616","אור המאיר הדף")</f>
        <v>אור המאיר הדף</v>
      </c>
    </row>
    <row r="79" spans="1:5" x14ac:dyDescent="0.2">
      <c r="A79" t="s">
        <v>193</v>
      </c>
      <c r="B79" t="s">
        <v>194</v>
      </c>
      <c r="C79" t="s">
        <v>82</v>
      </c>
      <c r="D79" t="s">
        <v>12</v>
      </c>
      <c r="E79" s="3" t="str">
        <f>HYPERLINK("http://www.otzar.org/book.asp?196295","אור השולחן")</f>
        <v>אור השולחן</v>
      </c>
    </row>
    <row r="80" spans="1:5" x14ac:dyDescent="0.2">
      <c r="A80" t="s">
        <v>195</v>
      </c>
      <c r="B80" t="s">
        <v>194</v>
      </c>
      <c r="C80" t="s">
        <v>82</v>
      </c>
      <c r="D80" t="s">
        <v>12</v>
      </c>
      <c r="E80" s="3" t="str">
        <f>HYPERLINK("http://www.otzar.org/book.asp?607874","אור השלחן")</f>
        <v>אור השלחן</v>
      </c>
    </row>
    <row r="81" spans="1:5" x14ac:dyDescent="0.2">
      <c r="A81" t="s">
        <v>196</v>
      </c>
      <c r="B81" t="s">
        <v>108</v>
      </c>
      <c r="C81" t="s">
        <v>122</v>
      </c>
      <c r="D81" t="s">
        <v>197</v>
      </c>
      <c r="E81" s="3" t="str">
        <f>HYPERLINK("http://www.otzar.org/book.asp?161299","אור התבור")</f>
        <v>אור התבור</v>
      </c>
    </row>
    <row r="82" spans="1:5" x14ac:dyDescent="0.2">
      <c r="A82" t="s">
        <v>198</v>
      </c>
      <c r="B82" t="s">
        <v>62</v>
      </c>
      <c r="C82" t="s">
        <v>39</v>
      </c>
      <c r="D82" t="s">
        <v>40</v>
      </c>
      <c r="E82" s="3" t="str">
        <f>HYPERLINK("http://www.otzar.org/book.asp?141689","אור התורה &lt;טקסט&gt; - במדבר ג")</f>
        <v>אור התורה &lt;טקסט&gt; - במדבר ג</v>
      </c>
    </row>
    <row r="83" spans="1:5" x14ac:dyDescent="0.2">
      <c r="A83" t="s">
        <v>199</v>
      </c>
      <c r="B83" t="s">
        <v>200</v>
      </c>
      <c r="C83" t="s">
        <v>201</v>
      </c>
      <c r="D83" t="s">
        <v>8</v>
      </c>
      <c r="E83" s="3" t="str">
        <f>HYPERLINK("http://www.otzar.org/book.asp?26149","אור התורה - על סידור תפילה")</f>
        <v>אור התורה - על סידור תפילה</v>
      </c>
    </row>
    <row r="84" spans="1:5" x14ac:dyDescent="0.2">
      <c r="A84" t="s">
        <v>202</v>
      </c>
      <c r="B84" t="s">
        <v>62</v>
      </c>
      <c r="C84" t="s">
        <v>201</v>
      </c>
      <c r="D84" t="s">
        <v>8</v>
      </c>
      <c r="E84" s="3" t="str">
        <f>HYPERLINK("http://www.otzar.org/book.asp?26151","אור התורה - 42 כר'")</f>
        <v>אור התורה - 42 כר'</v>
      </c>
    </row>
    <row r="85" spans="1:5" x14ac:dyDescent="0.2">
      <c r="A85" t="s">
        <v>203</v>
      </c>
      <c r="B85" t="s">
        <v>204</v>
      </c>
      <c r="C85" t="s">
        <v>122</v>
      </c>
      <c r="D85" t="s">
        <v>8</v>
      </c>
      <c r="E85" s="3" t="str">
        <f>HYPERLINK("http://www.otzar.org/book.asp?147722","אור התפלה - 5 כר'")</f>
        <v>אור התפלה - 5 כר'</v>
      </c>
    </row>
    <row r="86" spans="1:5" x14ac:dyDescent="0.2">
      <c r="A86" t="s">
        <v>205</v>
      </c>
      <c r="B86" t="s">
        <v>30</v>
      </c>
      <c r="C86" t="s">
        <v>165</v>
      </c>
      <c r="D86" t="s">
        <v>8</v>
      </c>
      <c r="E86" s="3" t="str">
        <f>HYPERLINK("http://www.otzar.org/book.asp?142744","אור וחום ההתקשרות - 4 כר'")</f>
        <v>אור וחום ההתקשרות - 4 כר'</v>
      </c>
    </row>
    <row r="87" spans="1:5" x14ac:dyDescent="0.2">
      <c r="A87" t="s">
        <v>206</v>
      </c>
      <c r="B87" t="s">
        <v>207</v>
      </c>
      <c r="C87" t="s">
        <v>73</v>
      </c>
      <c r="D87" t="s">
        <v>208</v>
      </c>
      <c r="E87" s="3" t="str">
        <f>HYPERLINK("http://www.otzar.org/book.asp?607745","אור וחיות נפשנו")</f>
        <v>אור וחיות נפשנו</v>
      </c>
    </row>
    <row r="88" spans="1:5" x14ac:dyDescent="0.2">
      <c r="A88" t="s">
        <v>209</v>
      </c>
      <c r="B88" t="s">
        <v>108</v>
      </c>
      <c r="C88" t="s">
        <v>18</v>
      </c>
      <c r="D88" t="s">
        <v>8</v>
      </c>
      <c r="E88" s="3" t="str">
        <f>HYPERLINK("http://www.otzar.org/book.asp?140829","אור זרוע לצדיק - קובץ פלפולים")</f>
        <v>אור זרוע לצדיק - קובץ פלפולים</v>
      </c>
    </row>
    <row r="89" spans="1:5" x14ac:dyDescent="0.2">
      <c r="A89" t="s">
        <v>210</v>
      </c>
      <c r="B89" t="s">
        <v>211</v>
      </c>
      <c r="C89" t="s">
        <v>129</v>
      </c>
      <c r="D89" t="s">
        <v>8</v>
      </c>
      <c r="E89" s="3" t="str">
        <f>HYPERLINK("http://www.otzar.org/book.asp?27830","אור חסידי בחושך הסובייטי")</f>
        <v>אור חסידי בחושך הסובייטי</v>
      </c>
    </row>
    <row r="90" spans="1:5" x14ac:dyDescent="0.2">
      <c r="A90" t="s">
        <v>212</v>
      </c>
      <c r="B90" t="s">
        <v>108</v>
      </c>
      <c r="C90" t="s">
        <v>213</v>
      </c>
      <c r="D90" t="s">
        <v>214</v>
      </c>
      <c r="E90" s="3" t="str">
        <f>HYPERLINK("http://www.otzar.org/book.asp?146048","אור מנחם - 2 כר'")</f>
        <v>אור מנחם - 2 כר'</v>
      </c>
    </row>
    <row r="91" spans="1:5" x14ac:dyDescent="0.2">
      <c r="A91" t="s">
        <v>215</v>
      </c>
      <c r="B91" t="s">
        <v>108</v>
      </c>
      <c r="C91" t="s">
        <v>119</v>
      </c>
      <c r="D91" t="s">
        <v>12</v>
      </c>
      <c r="E91" s="3" t="str">
        <f>HYPERLINK("http://www.otzar.org/book.asp?143345","אור עולם - 2 כר'")</f>
        <v>אור עולם - 2 כר'</v>
      </c>
    </row>
    <row r="92" spans="1:5" x14ac:dyDescent="0.2">
      <c r="A92" t="s">
        <v>216</v>
      </c>
      <c r="B92" t="s">
        <v>217</v>
      </c>
      <c r="C92" t="s">
        <v>67</v>
      </c>
      <c r="D92" t="s">
        <v>218</v>
      </c>
      <c r="E92" s="3" t="str">
        <f>HYPERLINK("http://www.otzar.org/book.asp?145476","אור פני מלך")</f>
        <v>אור פני מלך</v>
      </c>
    </row>
    <row r="93" spans="1:5" x14ac:dyDescent="0.2">
      <c r="A93" t="s">
        <v>219</v>
      </c>
      <c r="B93" t="s">
        <v>220</v>
      </c>
      <c r="C93" t="s">
        <v>54</v>
      </c>
      <c r="D93" t="s">
        <v>8</v>
      </c>
      <c r="E93" s="3" t="str">
        <f>HYPERLINK("http://www.otzar.org/book.asp?173754","אור תורה השלם")</f>
        <v>אור תורה השלם</v>
      </c>
    </row>
    <row r="94" spans="1:5" x14ac:dyDescent="0.2">
      <c r="A94" t="s">
        <v>221</v>
      </c>
      <c r="B94" t="s">
        <v>222</v>
      </c>
      <c r="C94" t="s">
        <v>22</v>
      </c>
      <c r="D94" t="s">
        <v>12</v>
      </c>
      <c r="E94" s="3" t="str">
        <f>HYPERLINK("http://www.otzar.org/book.asp?141369","אורו של משיח")</f>
        <v>אורו של משיח</v>
      </c>
    </row>
    <row r="95" spans="1:5" x14ac:dyDescent="0.2">
      <c r="A95" t="s">
        <v>223</v>
      </c>
      <c r="B95" t="s">
        <v>224</v>
      </c>
      <c r="C95" t="s">
        <v>129</v>
      </c>
      <c r="D95" t="s">
        <v>19</v>
      </c>
      <c r="E95" s="3" t="str">
        <f>HYPERLINK("http://www.otzar.org/book.asp?146319","אורות דתהו בכלים דתקון")</f>
        <v>אורות דתהו בכלים דתקון</v>
      </c>
    </row>
    <row r="96" spans="1:5" x14ac:dyDescent="0.2">
      <c r="A96" t="s">
        <v>225</v>
      </c>
      <c r="B96" t="s">
        <v>226</v>
      </c>
      <c r="C96" t="s">
        <v>82</v>
      </c>
      <c r="D96" t="s">
        <v>80</v>
      </c>
      <c r="E96" s="3" t="str">
        <f>HYPERLINK("http://www.otzar.org/book.asp?607887","אורחות מנחם")</f>
        <v>אורחות מנחם</v>
      </c>
    </row>
    <row r="97" spans="1:5" x14ac:dyDescent="0.2">
      <c r="A97" t="s">
        <v>227</v>
      </c>
      <c r="B97" t="s">
        <v>228</v>
      </c>
      <c r="C97" t="s">
        <v>82</v>
      </c>
      <c r="D97" t="s">
        <v>166</v>
      </c>
      <c r="E97" s="3" t="str">
        <f>HYPERLINK("http://www.otzar.org/book.asp?196222","אורי וישעי")</f>
        <v>אורי וישעי</v>
      </c>
    </row>
    <row r="98" spans="1:5" x14ac:dyDescent="0.2">
      <c r="A98" t="s">
        <v>229</v>
      </c>
      <c r="B98" t="s">
        <v>230</v>
      </c>
      <c r="C98" t="s">
        <v>82</v>
      </c>
      <c r="D98" t="s">
        <v>231</v>
      </c>
      <c r="E98" s="3" t="str">
        <f>HYPERLINK("http://www.otzar.org/book.asp?607961","אורי ניסן")</f>
        <v>אורי ניסן</v>
      </c>
    </row>
    <row r="99" spans="1:5" x14ac:dyDescent="0.2">
      <c r="A99" t="s">
        <v>232</v>
      </c>
      <c r="C99" t="s">
        <v>191</v>
      </c>
      <c r="D99" t="s">
        <v>12</v>
      </c>
      <c r="E99" s="3" t="str">
        <f>HYPERLINK("http://www.otzar.org/book.asp?606068","אות בספר התורה")</f>
        <v>אות בספר התורה</v>
      </c>
    </row>
    <row r="100" spans="1:5" x14ac:dyDescent="0.2">
      <c r="A100" t="s">
        <v>233</v>
      </c>
      <c r="B100" t="s">
        <v>233</v>
      </c>
      <c r="C100" t="s">
        <v>111</v>
      </c>
      <c r="D100" t="s">
        <v>40</v>
      </c>
      <c r="E100" s="3" t="str">
        <f>HYPERLINK("http://www.otzar.org/book.asp?27234","אותיות איתן")</f>
        <v>אותיות איתן</v>
      </c>
    </row>
    <row r="101" spans="1:5" x14ac:dyDescent="0.2">
      <c r="A101" t="s">
        <v>234</v>
      </c>
      <c r="B101" t="s">
        <v>235</v>
      </c>
      <c r="C101" t="s">
        <v>54</v>
      </c>
      <c r="D101" t="s">
        <v>19</v>
      </c>
      <c r="E101" s="3" t="str">
        <f>HYPERLINK("http://www.otzar.org/book.asp?169941","אזכיר על הציון")</f>
        <v>אזכיר על הציון</v>
      </c>
    </row>
    <row r="102" spans="1:5" x14ac:dyDescent="0.2">
      <c r="A102" t="s">
        <v>236</v>
      </c>
      <c r="B102" t="s">
        <v>237</v>
      </c>
      <c r="C102" t="s">
        <v>183</v>
      </c>
      <c r="D102" t="s">
        <v>12</v>
      </c>
      <c r="E102" s="3" t="str">
        <f>HYPERLINK("http://www.otzar.org/book.asp?27858","אחד היה אברהם")</f>
        <v>אחד היה אברהם</v>
      </c>
    </row>
    <row r="103" spans="1:5" x14ac:dyDescent="0.2">
      <c r="A103" t="s">
        <v>238</v>
      </c>
      <c r="B103" t="s">
        <v>239</v>
      </c>
      <c r="C103" t="s">
        <v>54</v>
      </c>
      <c r="D103" t="s">
        <v>240</v>
      </c>
      <c r="E103" s="3" t="str">
        <f>HYPERLINK("http://www.otzar.org/book.asp?169950","אחד מי יודע")</f>
        <v>אחד מי יודע</v>
      </c>
    </row>
    <row r="104" spans="1:5" x14ac:dyDescent="0.2">
      <c r="A104" t="s">
        <v>241</v>
      </c>
      <c r="B104" t="s">
        <v>242</v>
      </c>
      <c r="C104" t="s">
        <v>44</v>
      </c>
      <c r="D104" t="s">
        <v>19</v>
      </c>
      <c r="E104" s="3" t="str">
        <f>HYPERLINK("http://www.otzar.org/book.asp?189107","אחדות בתורה - ב")</f>
        <v>אחדות בתורה - ב</v>
      </c>
    </row>
    <row r="105" spans="1:5" x14ac:dyDescent="0.2">
      <c r="A105" t="s">
        <v>243</v>
      </c>
      <c r="B105" t="s">
        <v>244</v>
      </c>
      <c r="C105" t="s">
        <v>73</v>
      </c>
      <c r="D105" t="s">
        <v>8</v>
      </c>
      <c r="E105" s="3" t="str">
        <f>HYPERLINK("http://www.otzar.org/book.asp?189102","אחסידישע בר מצוה")</f>
        <v>אחסידישע בר מצוה</v>
      </c>
    </row>
    <row r="106" spans="1:5" x14ac:dyDescent="0.2">
      <c r="A106" t="s">
        <v>245</v>
      </c>
      <c r="B106" t="s">
        <v>246</v>
      </c>
      <c r="C106" t="s">
        <v>115</v>
      </c>
      <c r="D106" t="s">
        <v>12</v>
      </c>
      <c r="E106" s="3" t="str">
        <f>HYPERLINK("http://www.otzar.org/book.asp?29338","אחרי מלחמת יום הכפורים")</f>
        <v>אחרי מלחמת יום הכפורים</v>
      </c>
    </row>
    <row r="107" spans="1:5" x14ac:dyDescent="0.2">
      <c r="A107" t="s">
        <v>247</v>
      </c>
      <c r="B107" t="s">
        <v>248</v>
      </c>
      <c r="C107" t="s">
        <v>142</v>
      </c>
      <c r="D107" t="s">
        <v>249</v>
      </c>
      <c r="E107" s="3" t="str">
        <f>HYPERLINK("http://www.otzar.org/book.asp?611896","אחריך נרוצה - ג")</f>
        <v>אחריך נרוצה - ג</v>
      </c>
    </row>
    <row r="108" spans="1:5" x14ac:dyDescent="0.2">
      <c r="A108" t="s">
        <v>250</v>
      </c>
      <c r="B108" t="s">
        <v>250</v>
      </c>
      <c r="C108" t="s">
        <v>86</v>
      </c>
      <c r="D108" t="s">
        <v>8</v>
      </c>
      <c r="E108" s="3" t="str">
        <f>HYPERLINK("http://www.otzar.org/book.asp?146215","איבערלעבן")</f>
        <v>איבערלעבן</v>
      </c>
    </row>
    <row r="109" spans="1:5" x14ac:dyDescent="0.2">
      <c r="A109" t="s">
        <v>251</v>
      </c>
      <c r="B109" t="s">
        <v>252</v>
      </c>
      <c r="C109" t="s">
        <v>31</v>
      </c>
      <c r="D109" t="s">
        <v>253</v>
      </c>
      <c r="E109" s="3" t="str">
        <f>HYPERLINK("http://www.otzar.org/book.asp?143307","איי המלך")</f>
        <v>איי המלך</v>
      </c>
    </row>
    <row r="110" spans="1:5" x14ac:dyDescent="0.2">
      <c r="A110" t="s">
        <v>254</v>
      </c>
      <c r="B110" t="s">
        <v>255</v>
      </c>
      <c r="C110" t="s">
        <v>76</v>
      </c>
      <c r="D110" t="s">
        <v>19</v>
      </c>
      <c r="E110" s="3" t="str">
        <f>HYPERLINK("http://www.otzar.org/book.asp?607812","איך געדיינק אייך")</f>
        <v>איך געדיינק אייך</v>
      </c>
    </row>
    <row r="111" spans="1:5" x14ac:dyDescent="0.2">
      <c r="A111" t="s">
        <v>256</v>
      </c>
      <c r="B111" t="s">
        <v>257</v>
      </c>
      <c r="C111" t="s">
        <v>76</v>
      </c>
      <c r="D111" t="s">
        <v>12</v>
      </c>
      <c r="E111" s="3" t="str">
        <f>HYPERLINK("http://www.otzar.org/book.asp?27861","איך יראה העולם")</f>
        <v>איך יראה העולם</v>
      </c>
    </row>
    <row r="112" spans="1:5" x14ac:dyDescent="0.2">
      <c r="A112" t="s">
        <v>258</v>
      </c>
      <c r="B112" t="s">
        <v>259</v>
      </c>
      <c r="C112" t="s">
        <v>76</v>
      </c>
      <c r="D112" t="s">
        <v>40</v>
      </c>
      <c r="E112" s="3" t="str">
        <f>HYPERLINK("http://www.otzar.org/book.asp?143587","איך למה מדוע")</f>
        <v>איך למה מדוע</v>
      </c>
    </row>
    <row r="113" spans="1:5" x14ac:dyDescent="0.2">
      <c r="A113" t="s">
        <v>260</v>
      </c>
      <c r="B113" t="s">
        <v>261</v>
      </c>
      <c r="C113" t="s">
        <v>54</v>
      </c>
      <c r="D113" t="s">
        <v>101</v>
      </c>
      <c r="E113" s="3" t="str">
        <f>HYPERLINK("http://www.otzar.org/book.asp?169909","אילנא דחיי")</f>
        <v>אילנא דחיי</v>
      </c>
    </row>
    <row r="114" spans="1:5" x14ac:dyDescent="0.2">
      <c r="A114" t="s">
        <v>260</v>
      </c>
      <c r="B114" t="s">
        <v>30</v>
      </c>
      <c r="C114" t="s">
        <v>183</v>
      </c>
      <c r="D114" t="s">
        <v>8</v>
      </c>
      <c r="E114" s="3" t="str">
        <f>HYPERLINK("http://www.otzar.org/book.asp?27576","אילנא דחיי")</f>
        <v>אילנא דחיי</v>
      </c>
    </row>
    <row r="115" spans="1:5" x14ac:dyDescent="0.2">
      <c r="A115" t="s">
        <v>262</v>
      </c>
      <c r="B115" t="s">
        <v>263</v>
      </c>
      <c r="C115" t="s">
        <v>65</v>
      </c>
      <c r="D115" t="s">
        <v>264</v>
      </c>
      <c r="E115" s="3" t="str">
        <f>HYPERLINK("http://www.otzar.org/book.asp?27727","אילת המלך")</f>
        <v>אילת המלך</v>
      </c>
    </row>
    <row r="116" spans="1:5" x14ac:dyDescent="0.2">
      <c r="A116" t="s">
        <v>265</v>
      </c>
      <c r="B116" t="s">
        <v>266</v>
      </c>
      <c r="C116" t="s">
        <v>82</v>
      </c>
      <c r="D116" t="s">
        <v>12</v>
      </c>
      <c r="E116" s="3" t="str">
        <f>HYPERLINK("http://www.otzar.org/book.asp?607696","איש החינוך")</f>
        <v>איש החינוך</v>
      </c>
    </row>
    <row r="117" spans="1:5" x14ac:dyDescent="0.2">
      <c r="A117" t="s">
        <v>267</v>
      </c>
      <c r="B117" t="s">
        <v>230</v>
      </c>
      <c r="C117" t="s">
        <v>165</v>
      </c>
      <c r="D117" t="s">
        <v>12</v>
      </c>
      <c r="E117" s="3" t="str">
        <f>HYPERLINK("http://www.otzar.org/book.asp?27544","איש חסיד היה")</f>
        <v>איש חסיד היה</v>
      </c>
    </row>
    <row r="118" spans="1:5" x14ac:dyDescent="0.2">
      <c r="A118" t="s">
        <v>268</v>
      </c>
      <c r="B118" t="s">
        <v>269</v>
      </c>
      <c r="C118" t="s">
        <v>76</v>
      </c>
      <c r="D118" t="s">
        <v>12</v>
      </c>
      <c r="E118" s="3" t="str">
        <f>HYPERLINK("http://www.otzar.org/book.asp?607818","אל אשר תלכי")</f>
        <v>אל אשר תלכי</v>
      </c>
    </row>
    <row r="119" spans="1:5" x14ac:dyDescent="0.2">
      <c r="A119" t="s">
        <v>270</v>
      </c>
      <c r="B119" t="s">
        <v>271</v>
      </c>
      <c r="C119" t="s">
        <v>142</v>
      </c>
      <c r="D119" t="s">
        <v>272</v>
      </c>
      <c r="E119" s="3" t="str">
        <f>HYPERLINK("http://www.otzar.org/book.asp?613800","אל מול פני המנורה")</f>
        <v>אל מול פני המנורה</v>
      </c>
    </row>
    <row r="120" spans="1:5" x14ac:dyDescent="0.2">
      <c r="A120" t="s">
        <v>273</v>
      </c>
      <c r="B120" t="s">
        <v>30</v>
      </c>
      <c r="C120" t="s">
        <v>183</v>
      </c>
      <c r="D120" t="s">
        <v>12</v>
      </c>
      <c r="E120" s="3" t="str">
        <f>HYPERLINK("http://www.otzar.org/book.asp?27245","אל נשי ובנות ישראל")</f>
        <v>אל נשי ובנות ישראל</v>
      </c>
    </row>
    <row r="121" spans="1:5" x14ac:dyDescent="0.2">
      <c r="A121" t="s">
        <v>274</v>
      </c>
      <c r="B121" t="s">
        <v>275</v>
      </c>
      <c r="C121" t="s">
        <v>276</v>
      </c>
      <c r="D121" t="s">
        <v>8</v>
      </c>
      <c r="E121" s="3" t="str">
        <f>HYPERLINK("http://www.otzar.org/book.asp?27566","אלבום אמריקה אינה שונה")</f>
        <v>אלבום אמריקה אינה שונה</v>
      </c>
    </row>
    <row r="122" spans="1:5" x14ac:dyDescent="0.2">
      <c r="A122" t="s">
        <v>277</v>
      </c>
      <c r="B122" t="s">
        <v>277</v>
      </c>
      <c r="C122" t="s">
        <v>76</v>
      </c>
      <c r="E122" s="3" t="str">
        <f>HYPERLINK("http://www.otzar.org/book.asp?27553","אלבום היום יום")</f>
        <v>אלבום היום יום</v>
      </c>
    </row>
    <row r="123" spans="1:5" x14ac:dyDescent="0.2">
      <c r="A123" t="s">
        <v>278</v>
      </c>
      <c r="E123" s="3" t="str">
        <f>HYPERLINK("http://www.otzar.org/book.asp?609793","אלבום חב""ד בארצנו הקדושה")</f>
        <v>אלבום חב"ד בארצנו הקדושה</v>
      </c>
    </row>
    <row r="124" spans="1:5" x14ac:dyDescent="0.2">
      <c r="A124" t="s">
        <v>279</v>
      </c>
      <c r="B124" t="s">
        <v>280</v>
      </c>
      <c r="C124" t="s">
        <v>76</v>
      </c>
      <c r="D124" t="s">
        <v>19</v>
      </c>
      <c r="E124" s="3" t="str">
        <f>HYPERLINK("http://www.otzar.org/book.asp?141652","אלבום חב""ד בישראל")</f>
        <v>אלבום חב"ד בישראל</v>
      </c>
    </row>
    <row r="125" spans="1:5" x14ac:dyDescent="0.2">
      <c r="A125" t="s">
        <v>281</v>
      </c>
      <c r="B125" t="s">
        <v>280</v>
      </c>
      <c r="C125" t="s">
        <v>47</v>
      </c>
      <c r="D125" t="s">
        <v>12</v>
      </c>
      <c r="E125" s="3" t="str">
        <f>HYPERLINK("http://www.otzar.org/book.asp?141645","אלבום לחגיגת סיום הרמב""ם")</f>
        <v>אלבום לחגיגת סיום הרמב"ם</v>
      </c>
    </row>
    <row r="126" spans="1:5" x14ac:dyDescent="0.2">
      <c r="A126" t="s">
        <v>282</v>
      </c>
      <c r="B126" t="s">
        <v>280</v>
      </c>
      <c r="C126" t="s">
        <v>76</v>
      </c>
      <c r="D126" t="s">
        <v>12</v>
      </c>
      <c r="E126" s="3" t="str">
        <f>HYPERLINK("http://www.otzar.org/book.asp?141651","אלבום צעירי אגודת חב""ד בארץ ישראל")</f>
        <v>אלבום צעירי אגודת חב"ד בארץ ישראל</v>
      </c>
    </row>
    <row r="127" spans="1:5" x14ac:dyDescent="0.2">
      <c r="A127" t="s">
        <v>283</v>
      </c>
      <c r="B127" t="s">
        <v>280</v>
      </c>
      <c r="C127" t="s">
        <v>47</v>
      </c>
      <c r="D127" t="s">
        <v>8</v>
      </c>
      <c r="E127" s="3" t="str">
        <f>HYPERLINK("http://www.otzar.org/book.asp?141646","אלבום - And There Was Light")</f>
        <v>אלבום - And There Was Light</v>
      </c>
    </row>
    <row r="128" spans="1:5" x14ac:dyDescent="0.2">
      <c r="A128" t="s">
        <v>284</v>
      </c>
      <c r="B128" t="s">
        <v>285</v>
      </c>
      <c r="C128" t="s">
        <v>15</v>
      </c>
      <c r="D128" t="s">
        <v>12</v>
      </c>
      <c r="E128" s="3" t="str">
        <f>HYPERLINK("http://www.otzar.org/book.asp?189060","אלה תולדות פרץ")</f>
        <v>אלה תולדות פרץ</v>
      </c>
    </row>
    <row r="129" spans="1:5" x14ac:dyDescent="0.2">
      <c r="A129" t="s">
        <v>286</v>
      </c>
      <c r="B129" t="s">
        <v>287</v>
      </c>
      <c r="C129" t="s">
        <v>288</v>
      </c>
      <c r="D129" t="s">
        <v>289</v>
      </c>
      <c r="E129" s="3" t="str">
        <f>HYPERLINK("http://www.otzar.org/book.asp?630543","אלה תולדות ר' אברהם")</f>
        <v>אלה תולדות ר' אברהם</v>
      </c>
    </row>
    <row r="130" spans="1:5" x14ac:dyDescent="0.2">
      <c r="A130" t="s">
        <v>290</v>
      </c>
      <c r="B130" t="s">
        <v>291</v>
      </c>
      <c r="C130" t="s">
        <v>76</v>
      </c>
      <c r="D130" t="s">
        <v>71</v>
      </c>
      <c r="E130" s="3" t="str">
        <f>HYPERLINK("http://www.otzar.org/book.asp?145949","אלול וימים נוראים")</f>
        <v>אלול וימים נוראים</v>
      </c>
    </row>
    <row r="131" spans="1:5" x14ac:dyDescent="0.2">
      <c r="A131" t="s">
        <v>292</v>
      </c>
      <c r="B131" t="s">
        <v>244</v>
      </c>
      <c r="C131" t="s">
        <v>34</v>
      </c>
      <c r="D131" t="s">
        <v>12</v>
      </c>
      <c r="E131" s="3" t="str">
        <f>HYPERLINK("http://www.otzar.org/book.asp?614924","אלול - תשרי")</f>
        <v>אלול - תשרי</v>
      </c>
    </row>
    <row r="132" spans="1:5" x14ac:dyDescent="0.2">
      <c r="A132" t="s">
        <v>292</v>
      </c>
      <c r="B132" t="s">
        <v>293</v>
      </c>
      <c r="C132" t="s">
        <v>47</v>
      </c>
      <c r="D132" t="s">
        <v>12</v>
      </c>
      <c r="E132" s="3" t="str">
        <f>HYPERLINK("http://www.otzar.org/book.asp?28734","אלול - תשרי")</f>
        <v>אלול - תשרי</v>
      </c>
    </row>
    <row r="133" spans="1:5" x14ac:dyDescent="0.2">
      <c r="A133" t="s">
        <v>294</v>
      </c>
      <c r="B133" t="s">
        <v>295</v>
      </c>
      <c r="C133" t="s">
        <v>76</v>
      </c>
      <c r="D133" t="s">
        <v>166</v>
      </c>
      <c r="E133" s="3" t="str">
        <f>HYPERLINK("http://www.otzar.org/book.asp?141483","אלוקים באו גויים בנחלתך")</f>
        <v>אלוקים באו גויים בנחלתך</v>
      </c>
    </row>
    <row r="134" spans="1:5" x14ac:dyDescent="0.2">
      <c r="A134" t="s">
        <v>296</v>
      </c>
      <c r="B134" t="s">
        <v>297</v>
      </c>
      <c r="C134" t="s">
        <v>76</v>
      </c>
      <c r="D134" t="s">
        <v>19</v>
      </c>
      <c r="E134" s="3" t="str">
        <f>HYPERLINK("http://www.otzar.org/book.asp?142751","אליובאוויטשער תמים")</f>
        <v>אליובאוויטשער תמים</v>
      </c>
    </row>
    <row r="135" spans="1:5" x14ac:dyDescent="0.2">
      <c r="A135" t="s">
        <v>298</v>
      </c>
      <c r="B135" t="s">
        <v>298</v>
      </c>
      <c r="C135" t="s">
        <v>213</v>
      </c>
      <c r="D135" t="s">
        <v>12</v>
      </c>
      <c r="E135" s="3" t="str">
        <f>HYPERLINK("http://www.otzar.org/book.asp?27236","אלף עובדות")</f>
        <v>אלף עובדות</v>
      </c>
    </row>
    <row r="136" spans="1:5" x14ac:dyDescent="0.2">
      <c r="A136" t="s">
        <v>299</v>
      </c>
      <c r="B136" t="s">
        <v>300</v>
      </c>
      <c r="C136" t="s">
        <v>301</v>
      </c>
      <c r="D136" t="s">
        <v>12</v>
      </c>
      <c r="E136" s="3" t="str">
        <f>HYPERLINK("http://www.otzar.org/book.asp?141643","אם בישראל")</f>
        <v>אם בישראל</v>
      </c>
    </row>
    <row r="137" spans="1:5" x14ac:dyDescent="0.2">
      <c r="A137" t="s">
        <v>302</v>
      </c>
      <c r="B137" t="s">
        <v>302</v>
      </c>
      <c r="C137" t="s">
        <v>165</v>
      </c>
      <c r="D137" t="s">
        <v>8</v>
      </c>
      <c r="E137" s="3" t="str">
        <f>HYPERLINK("http://www.otzar.org/book.asp?27408","אם המלכות")</f>
        <v>אם המלכות</v>
      </c>
    </row>
    <row r="138" spans="1:5" x14ac:dyDescent="0.2">
      <c r="A138" t="s">
        <v>302</v>
      </c>
      <c r="B138" t="s">
        <v>303</v>
      </c>
      <c r="C138" t="s">
        <v>183</v>
      </c>
      <c r="D138" t="s">
        <v>12</v>
      </c>
      <c r="E138" s="3" t="str">
        <f>HYPERLINK("http://www.otzar.org/book.asp?162898","אם המלכות")</f>
        <v>אם המלכות</v>
      </c>
    </row>
    <row r="139" spans="1:5" x14ac:dyDescent="0.2">
      <c r="A139" t="s">
        <v>304</v>
      </c>
      <c r="B139" t="s">
        <v>30</v>
      </c>
      <c r="C139" t="s">
        <v>305</v>
      </c>
      <c r="D139" t="s">
        <v>240</v>
      </c>
      <c r="E139" s="3" t="str">
        <f>HYPERLINK("http://www.otzar.org/book.asp?12833","אמונה ומדע")</f>
        <v>אמונה ומדע</v>
      </c>
    </row>
    <row r="140" spans="1:5" x14ac:dyDescent="0.2">
      <c r="A140" t="s">
        <v>306</v>
      </c>
      <c r="B140" t="s">
        <v>307</v>
      </c>
      <c r="C140" t="s">
        <v>39</v>
      </c>
      <c r="D140" t="s">
        <v>166</v>
      </c>
      <c r="E140" s="3" t="str">
        <f>HYPERLINK("http://www.otzar.org/book.asp?142322","אמירת תהלים")</f>
        <v>אמירת תהלים</v>
      </c>
    </row>
    <row r="141" spans="1:5" x14ac:dyDescent="0.2">
      <c r="A141" t="s">
        <v>308</v>
      </c>
      <c r="B141" t="s">
        <v>43</v>
      </c>
      <c r="C141" t="s">
        <v>191</v>
      </c>
      <c r="D141" t="s">
        <v>8</v>
      </c>
      <c r="E141" s="3" t="str">
        <f>HYPERLINK("http://www.otzar.org/book.asp?85020","אמרי בינה - 2 כר'")</f>
        <v>אמרי בינה - 2 כר'</v>
      </c>
    </row>
    <row r="142" spans="1:5" x14ac:dyDescent="0.2">
      <c r="A142" t="s">
        <v>309</v>
      </c>
      <c r="B142" t="s">
        <v>310</v>
      </c>
      <c r="C142" t="s">
        <v>311</v>
      </c>
      <c r="D142" t="s">
        <v>312</v>
      </c>
      <c r="E142" s="3" t="str">
        <f>HYPERLINK("http://www.otzar.org/book.asp?17217","אמרי נעם")</f>
        <v>אמרי נעם</v>
      </c>
    </row>
    <row r="143" spans="1:5" x14ac:dyDescent="0.2">
      <c r="A143" t="s">
        <v>313</v>
      </c>
      <c r="B143" t="s">
        <v>314</v>
      </c>
      <c r="C143" t="s">
        <v>276</v>
      </c>
      <c r="D143" t="s">
        <v>315</v>
      </c>
      <c r="E143" s="3" t="str">
        <f>HYPERLINK("http://www.otzar.org/book.asp?145478","אמת ליעקב - י")</f>
        <v>אמת ליעקב - י</v>
      </c>
    </row>
    <row r="144" spans="1:5" x14ac:dyDescent="0.2">
      <c r="A144" t="s">
        <v>316</v>
      </c>
      <c r="B144" t="s">
        <v>317</v>
      </c>
      <c r="C144" t="s">
        <v>52</v>
      </c>
      <c r="D144" t="s">
        <v>101</v>
      </c>
      <c r="E144" s="3" t="str">
        <f>HYPERLINK("http://www.otzar.org/book.asp?27624","אמת ליעקב - 2 כר'")</f>
        <v>אמת ליעקב - 2 כר'</v>
      </c>
    </row>
    <row r="145" spans="1:5" x14ac:dyDescent="0.2">
      <c r="A145" t="s">
        <v>318</v>
      </c>
      <c r="B145" t="s">
        <v>319</v>
      </c>
      <c r="C145" t="s">
        <v>34</v>
      </c>
      <c r="D145" t="s">
        <v>12</v>
      </c>
      <c r="E145" s="3" t="str">
        <f>HYPERLINK("http://www.otzar.org/book.asp?157293","אני ה' רופאך")</f>
        <v>אני ה' רופאך</v>
      </c>
    </row>
    <row r="146" spans="1:5" x14ac:dyDescent="0.2">
      <c r="A146" t="s">
        <v>320</v>
      </c>
      <c r="B146" t="s">
        <v>108</v>
      </c>
      <c r="C146" t="s">
        <v>191</v>
      </c>
      <c r="D146" t="s">
        <v>8</v>
      </c>
      <c r="E146" s="3" t="str">
        <f>HYPERLINK("http://www.otzar.org/book.asp?195741","אני לדודי - תשע""ו")</f>
        <v>אני לדודי - תשע"ו</v>
      </c>
    </row>
    <row r="147" spans="1:5" x14ac:dyDescent="0.2">
      <c r="A147" t="s">
        <v>321</v>
      </c>
      <c r="B147" t="s">
        <v>322</v>
      </c>
      <c r="C147" t="s">
        <v>73</v>
      </c>
      <c r="D147" t="s">
        <v>323</v>
      </c>
      <c r="E147" s="3" t="str">
        <f>HYPERLINK("http://www.otzar.org/book.asp?189080","אני מאמין")</f>
        <v>אני מאמין</v>
      </c>
    </row>
    <row r="148" spans="1:5" x14ac:dyDescent="0.2">
      <c r="A148" t="s">
        <v>321</v>
      </c>
      <c r="B148" t="s">
        <v>324</v>
      </c>
      <c r="C148" t="s">
        <v>39</v>
      </c>
      <c r="D148" t="s">
        <v>166</v>
      </c>
      <c r="E148" s="3" t="str">
        <f>HYPERLINK("http://www.otzar.org/book.asp?53095","אני מאמין")</f>
        <v>אני מאמין</v>
      </c>
    </row>
    <row r="149" spans="1:5" x14ac:dyDescent="0.2">
      <c r="A149" t="s">
        <v>325</v>
      </c>
      <c r="B149" t="s">
        <v>326</v>
      </c>
      <c r="C149" t="s">
        <v>327</v>
      </c>
      <c r="D149" t="s">
        <v>12</v>
      </c>
      <c r="E149" s="3" t="str">
        <f>HYPERLINK("http://www.otzar.org/book.asp?27766","אנשים חסידים היו")</f>
        <v>אנשים חסידים היו</v>
      </c>
    </row>
    <row r="150" spans="1:5" x14ac:dyDescent="0.2">
      <c r="A150" t="s">
        <v>328</v>
      </c>
      <c r="B150" t="s">
        <v>328</v>
      </c>
      <c r="C150" t="s">
        <v>148</v>
      </c>
      <c r="D150" t="s">
        <v>329</v>
      </c>
      <c r="E150" s="3" t="str">
        <f>HYPERLINK("http://www.otzar.org/book.asp?27527","אנשים של צורה")</f>
        <v>אנשים של צורה</v>
      </c>
    </row>
    <row r="151" spans="1:5" x14ac:dyDescent="0.2">
      <c r="A151" t="s">
        <v>330</v>
      </c>
      <c r="B151" t="s">
        <v>331</v>
      </c>
      <c r="C151" t="s">
        <v>18</v>
      </c>
      <c r="D151" t="s">
        <v>332</v>
      </c>
      <c r="E151" s="3" t="str">
        <f>HYPERLINK("http://www.otzar.org/book.asp?140960","אסא דבי הילולא")</f>
        <v>אסא דבי הילולא</v>
      </c>
    </row>
    <row r="152" spans="1:5" x14ac:dyDescent="0.2">
      <c r="A152" t="s">
        <v>333</v>
      </c>
      <c r="B152" t="s">
        <v>334</v>
      </c>
      <c r="C152" t="s">
        <v>44</v>
      </c>
      <c r="D152" t="s">
        <v>12</v>
      </c>
      <c r="E152" s="3" t="str">
        <f>HYPERLINK("http://www.otzar.org/book.asp?173487","אסדר לסעודתא - ג")</f>
        <v>אסדר לסעודתא - ג</v>
      </c>
    </row>
    <row r="153" spans="1:5" x14ac:dyDescent="0.2">
      <c r="A153" t="s">
        <v>335</v>
      </c>
      <c r="B153" t="s">
        <v>336</v>
      </c>
      <c r="C153" t="s">
        <v>44</v>
      </c>
      <c r="D153" t="s">
        <v>12</v>
      </c>
      <c r="E153" s="3" t="str">
        <f>HYPERLINK("http://www.otzar.org/book.asp?173816","אסתלק יקרא")</f>
        <v>אסתלק יקרא</v>
      </c>
    </row>
    <row r="154" spans="1:5" x14ac:dyDescent="0.2">
      <c r="A154" t="s">
        <v>337</v>
      </c>
      <c r="B154" t="s">
        <v>338</v>
      </c>
      <c r="C154" t="s">
        <v>76</v>
      </c>
      <c r="D154" t="s">
        <v>19</v>
      </c>
      <c r="E154" s="3" t="str">
        <f>HYPERLINK("http://www.otzar.org/book.asp?169687","אפיקי מים - ב")</f>
        <v>אפיקי מים - ב</v>
      </c>
    </row>
    <row r="155" spans="1:5" x14ac:dyDescent="0.2">
      <c r="A155" t="s">
        <v>339</v>
      </c>
      <c r="B155" t="s">
        <v>340</v>
      </c>
      <c r="C155" t="s">
        <v>65</v>
      </c>
      <c r="D155" t="s">
        <v>40</v>
      </c>
      <c r="E155" s="3" t="str">
        <f>HYPERLINK("http://www.otzar.org/book.asp?143316","אפיקי מים")</f>
        <v>אפיקי מים</v>
      </c>
    </row>
    <row r="156" spans="1:5" x14ac:dyDescent="0.2">
      <c r="A156" t="s">
        <v>341</v>
      </c>
      <c r="B156" t="s">
        <v>342</v>
      </c>
      <c r="C156" t="s">
        <v>327</v>
      </c>
      <c r="D156" t="s">
        <v>8</v>
      </c>
      <c r="E156" s="3" t="str">
        <f>HYPERLINK("http://www.otzar.org/book.asp?26938","אפריון לרבי שמעון")</f>
        <v>אפריון לרבי שמעון</v>
      </c>
    </row>
    <row r="157" spans="1:5" x14ac:dyDescent="0.2">
      <c r="A157" t="s">
        <v>343</v>
      </c>
      <c r="B157" t="s">
        <v>344</v>
      </c>
      <c r="C157" t="s">
        <v>39</v>
      </c>
      <c r="D157" t="s">
        <v>12</v>
      </c>
      <c r="E157" s="3" t="str">
        <f>HYPERLINK("http://www.otzar.org/book.asp?142189","אצל אבא")</f>
        <v>אצל אבא</v>
      </c>
    </row>
    <row r="158" spans="1:5" x14ac:dyDescent="0.2">
      <c r="A158" t="s">
        <v>345</v>
      </c>
      <c r="B158" t="s">
        <v>346</v>
      </c>
      <c r="C158" t="s">
        <v>86</v>
      </c>
      <c r="D158" t="s">
        <v>12</v>
      </c>
      <c r="E158" s="3" t="str">
        <f>HYPERLINK("http://www.otzar.org/book.asp?143590","אראנו נפלאות - 2 כר'")</f>
        <v>אראנו נפלאות - 2 כר'</v>
      </c>
    </row>
    <row r="159" spans="1:5" x14ac:dyDescent="0.2">
      <c r="A159" t="s">
        <v>346</v>
      </c>
      <c r="B159" t="s">
        <v>33</v>
      </c>
      <c r="C159" t="s">
        <v>11</v>
      </c>
      <c r="D159" t="s">
        <v>12</v>
      </c>
      <c r="E159" s="3" t="str">
        <f>HYPERLINK("http://www.otzar.org/book.asp?162887","אראנו נפלאות")</f>
        <v>אראנו נפלאות</v>
      </c>
    </row>
    <row r="160" spans="1:5" x14ac:dyDescent="0.2">
      <c r="A160" t="s">
        <v>347</v>
      </c>
      <c r="B160" t="s">
        <v>348</v>
      </c>
      <c r="C160" t="s">
        <v>165</v>
      </c>
      <c r="D160" t="s">
        <v>12</v>
      </c>
      <c r="E160" s="3" t="str">
        <f>HYPERLINK("http://www.otzar.org/book.asp?27829","ארבעה חסידים")</f>
        <v>ארבעה חסידים</v>
      </c>
    </row>
    <row r="161" spans="1:5" x14ac:dyDescent="0.2">
      <c r="A161" t="s">
        <v>349</v>
      </c>
      <c r="B161" t="s">
        <v>217</v>
      </c>
      <c r="C161" t="s">
        <v>350</v>
      </c>
      <c r="D161" t="s">
        <v>40</v>
      </c>
      <c r="E161" s="3" t="str">
        <f>HYPERLINK("http://www.otzar.org/book.asp?622479","ארבעה שערים - 4 כר'")</f>
        <v>ארבעה שערים - 4 כר'</v>
      </c>
    </row>
    <row r="162" spans="1:5" x14ac:dyDescent="0.2">
      <c r="A162" t="s">
        <v>351</v>
      </c>
      <c r="B162" t="s">
        <v>352</v>
      </c>
      <c r="C162" t="s">
        <v>152</v>
      </c>
      <c r="D162" t="s">
        <v>40</v>
      </c>
      <c r="E162" s="3" t="str">
        <f>HYPERLINK("http://www.otzar.org/book.asp?143888","ארבעת המינים - 2 כר'")</f>
        <v>ארבעת המינים - 2 כר'</v>
      </c>
    </row>
    <row r="163" spans="1:5" x14ac:dyDescent="0.2">
      <c r="A163" t="s">
        <v>353</v>
      </c>
      <c r="B163" t="s">
        <v>297</v>
      </c>
      <c r="C163" t="s">
        <v>76</v>
      </c>
      <c r="D163" t="s">
        <v>101</v>
      </c>
      <c r="E163" s="3" t="str">
        <f>HYPERLINK("http://www.otzar.org/book.asp?140832","ארוכה מארץ מידה")</f>
        <v>ארוכה מארץ מידה</v>
      </c>
    </row>
    <row r="164" spans="1:5" x14ac:dyDescent="0.2">
      <c r="A164" t="s">
        <v>354</v>
      </c>
      <c r="B164" t="s">
        <v>355</v>
      </c>
      <c r="C164" t="s">
        <v>327</v>
      </c>
      <c r="D164" t="s">
        <v>8</v>
      </c>
      <c r="E164" s="3" t="str">
        <f>HYPERLINK("http://www.otzar.org/book.asp?171713","ארכיון לוי יצחק")</f>
        <v>ארכיון לוי יצחק</v>
      </c>
    </row>
    <row r="165" spans="1:5" x14ac:dyDescent="0.2">
      <c r="A165" t="s">
        <v>356</v>
      </c>
      <c r="B165" t="s">
        <v>108</v>
      </c>
      <c r="C165" t="s">
        <v>49</v>
      </c>
      <c r="D165" t="s">
        <v>249</v>
      </c>
      <c r="E165" s="3" t="str">
        <f>HYPERLINK("http://www.otzar.org/book.asp?27729","ארעא דרבנן דגליל")</f>
        <v>ארעא דרבנן דגליל</v>
      </c>
    </row>
    <row r="166" spans="1:5" x14ac:dyDescent="0.2">
      <c r="A166" t="s">
        <v>357</v>
      </c>
      <c r="B166" t="s">
        <v>151</v>
      </c>
      <c r="C166" t="s">
        <v>358</v>
      </c>
      <c r="D166" t="s">
        <v>8</v>
      </c>
      <c r="E166" s="3" t="str">
        <f>HYPERLINK("http://www.otzar.org/book.asp?146213","ארעסט און באפרייאונג פון אלטן רבי'ן")</f>
        <v>ארעסט און באפרייאונג פון אלטן רבי'ן</v>
      </c>
    </row>
    <row r="167" spans="1:5" x14ac:dyDescent="0.2">
      <c r="A167" t="s">
        <v>359</v>
      </c>
      <c r="B167" t="s">
        <v>360</v>
      </c>
      <c r="C167" t="s">
        <v>25</v>
      </c>
      <c r="D167" t="s">
        <v>92</v>
      </c>
      <c r="E167" s="3" t="str">
        <f>HYPERLINK("http://www.otzar.org/book.asp?28814","אשכבתא דרבי")</f>
        <v>אשכבתא דרבי</v>
      </c>
    </row>
    <row r="168" spans="1:5" x14ac:dyDescent="0.2">
      <c r="A168" t="s">
        <v>361</v>
      </c>
      <c r="B168" t="s">
        <v>362</v>
      </c>
      <c r="C168" t="s">
        <v>142</v>
      </c>
      <c r="D168" t="s">
        <v>8</v>
      </c>
      <c r="E168" s="3" t="str">
        <f>HYPERLINK("http://www.otzar.org/book.asp?621501","אשכילה בדרך תמים - 5 כר'")</f>
        <v>אשכילה בדרך תמים - 5 כר'</v>
      </c>
    </row>
    <row r="169" spans="1:5" x14ac:dyDescent="0.2">
      <c r="A169" t="s">
        <v>363</v>
      </c>
      <c r="B169" t="s">
        <v>108</v>
      </c>
      <c r="C169" t="s">
        <v>301</v>
      </c>
      <c r="D169" t="s">
        <v>101</v>
      </c>
      <c r="E169" s="3" t="str">
        <f>HYPERLINK("http://www.otzar.org/book.asp?141258","אשכילה בדרך תמים - 3 כר'")</f>
        <v>אשכילה בדרך תמים - 3 כר'</v>
      </c>
    </row>
    <row r="170" spans="1:5" x14ac:dyDescent="0.2">
      <c r="A170" t="s">
        <v>364</v>
      </c>
      <c r="B170" t="s">
        <v>365</v>
      </c>
      <c r="C170" t="s">
        <v>76</v>
      </c>
      <c r="D170" t="s">
        <v>12</v>
      </c>
      <c r="E170" s="3" t="str">
        <f>HYPERLINK("http://www.otzar.org/book.asp?145966","אשנב ליהדות")</f>
        <v>אשנב ליהדות</v>
      </c>
    </row>
    <row r="171" spans="1:5" x14ac:dyDescent="0.2">
      <c r="A171" t="s">
        <v>366</v>
      </c>
      <c r="B171" t="s">
        <v>280</v>
      </c>
      <c r="C171" t="s">
        <v>126</v>
      </c>
      <c r="D171" t="s">
        <v>12</v>
      </c>
      <c r="E171" s="3" t="str">
        <f>HYPERLINK("http://www.otzar.org/book.asp?141653","אשת חיל - הכנס הארצי ה-17 של נשי ובנות חב""ד")</f>
        <v>אשת חיל - הכנס הארצי ה-17 של נשי ובנות חב"ד</v>
      </c>
    </row>
    <row r="172" spans="1:5" x14ac:dyDescent="0.2">
      <c r="A172" t="s">
        <v>367</v>
      </c>
      <c r="B172" t="s">
        <v>368</v>
      </c>
      <c r="C172" t="s">
        <v>191</v>
      </c>
      <c r="D172" t="s">
        <v>12</v>
      </c>
      <c r="E172" s="3" t="str">
        <f>HYPERLINK("http://www.otzar.org/book.asp?85370","אתה בחרתנו")</f>
        <v>אתה בחרתנו</v>
      </c>
    </row>
    <row r="173" spans="1:5" x14ac:dyDescent="0.2">
      <c r="A173" t="s">
        <v>369</v>
      </c>
      <c r="B173" t="s">
        <v>370</v>
      </c>
      <c r="C173" t="s">
        <v>15</v>
      </c>
      <c r="D173" t="s">
        <v>80</v>
      </c>
      <c r="E173" s="3" t="str">
        <f>HYPERLINK("http://www.otzar.org/book.asp?195732","אתם שלום")</f>
        <v>אתם שלום</v>
      </c>
    </row>
    <row r="174" spans="1:5" x14ac:dyDescent="0.2">
      <c r="A174" t="s">
        <v>371</v>
      </c>
      <c r="B174" t="s">
        <v>372</v>
      </c>
      <c r="C174" t="s">
        <v>111</v>
      </c>
      <c r="D174" t="s">
        <v>19</v>
      </c>
      <c r="E174" s="3" t="str">
        <f>HYPERLINK("http://www.otzar.org/book.asp?146243","אתפשטותא דמשה בכל דרא ודרא")</f>
        <v>אתפשטותא דמשה בכל דרא ודרא</v>
      </c>
    </row>
    <row r="175" spans="1:5" x14ac:dyDescent="0.2">
      <c r="A175" t="s">
        <v>373</v>
      </c>
      <c r="B175" t="s">
        <v>374</v>
      </c>
      <c r="C175" t="s">
        <v>165</v>
      </c>
      <c r="D175" t="s">
        <v>375</v>
      </c>
      <c r="E175" s="3" t="str">
        <f>HYPERLINK("http://www.otzar.org/book.asp?26964","אתפשטותא דמשה - 2 כר'")</f>
        <v>אתפשטותא דמשה - 2 כר'</v>
      </c>
    </row>
    <row r="176" spans="1:5" x14ac:dyDescent="0.2">
      <c r="A176" t="s">
        <v>376</v>
      </c>
      <c r="B176" t="s">
        <v>377</v>
      </c>
      <c r="C176" t="s">
        <v>39</v>
      </c>
      <c r="D176" t="s">
        <v>375</v>
      </c>
      <c r="E176" s="3" t="str">
        <f>HYPERLINK("http://www.otzar.org/book.asp?29333","אתפשטותא דמשה")</f>
        <v>אתפשטותא דמשה</v>
      </c>
    </row>
    <row r="177" spans="1:5" x14ac:dyDescent="0.2">
      <c r="A177" t="s">
        <v>378</v>
      </c>
      <c r="B177" t="s">
        <v>379</v>
      </c>
      <c r="C177" t="s">
        <v>82</v>
      </c>
      <c r="D177" t="s">
        <v>380</v>
      </c>
      <c r="E177" s="3" t="str">
        <f>HYPERLINK("http://www.otzar.org/book.asp?196213","בא כח")</f>
        <v>בא כח</v>
      </c>
    </row>
    <row r="178" spans="1:5" x14ac:dyDescent="0.2">
      <c r="A178" t="s">
        <v>381</v>
      </c>
      <c r="B178" t="s">
        <v>108</v>
      </c>
      <c r="C178" t="s">
        <v>161</v>
      </c>
      <c r="D178" t="s">
        <v>382</v>
      </c>
      <c r="E178" s="3" t="str">
        <f>HYPERLINK("http://www.otzar.org/book.asp?27355","באגרות מלך")</f>
        <v>באגרות מלך</v>
      </c>
    </row>
    <row r="179" spans="1:5" x14ac:dyDescent="0.2">
      <c r="A179" t="s">
        <v>383</v>
      </c>
      <c r="B179" t="s">
        <v>384</v>
      </c>
      <c r="C179" t="s">
        <v>73</v>
      </c>
      <c r="D179" t="s">
        <v>8</v>
      </c>
      <c r="E179" s="3" t="str">
        <f>HYPERLINK("http://www.otzar.org/book.asp?189278","באהלה של תורה -")</f>
        <v>באהלה של תורה -</v>
      </c>
    </row>
    <row r="180" spans="1:5" x14ac:dyDescent="0.2">
      <c r="A180" t="s">
        <v>385</v>
      </c>
      <c r="B180" t="s">
        <v>108</v>
      </c>
      <c r="C180" t="s">
        <v>161</v>
      </c>
      <c r="D180" t="s">
        <v>386</v>
      </c>
      <c r="E180" s="3" t="str">
        <f>HYPERLINK("http://www.otzar.org/book.asp?27291","באהלה של תורה - 2 כר'")</f>
        <v>באהלה של תורה - 2 כר'</v>
      </c>
    </row>
    <row r="181" spans="1:5" x14ac:dyDescent="0.2">
      <c r="A181" t="s">
        <v>387</v>
      </c>
      <c r="B181" t="s">
        <v>388</v>
      </c>
      <c r="C181" t="s">
        <v>119</v>
      </c>
      <c r="D181" t="s">
        <v>8</v>
      </c>
      <c r="E181" s="3" t="str">
        <f>HYPERLINK("http://www.otzar.org/book.asp?29335","באהלי חב""ד - א")</f>
        <v>באהלי חב"ד - א</v>
      </c>
    </row>
    <row r="182" spans="1:5" x14ac:dyDescent="0.2">
      <c r="A182" t="s">
        <v>389</v>
      </c>
      <c r="B182" t="s">
        <v>390</v>
      </c>
      <c r="C182" t="s">
        <v>391</v>
      </c>
      <c r="D182" t="s">
        <v>240</v>
      </c>
      <c r="E182" s="3" t="str">
        <f>HYPERLINK("http://www.otzar.org/book.asp?145859","באהלי חנה - 2 כר'")</f>
        <v>באהלי חנה - 2 כר'</v>
      </c>
    </row>
    <row r="183" spans="1:5" x14ac:dyDescent="0.2">
      <c r="A183" t="s">
        <v>392</v>
      </c>
      <c r="B183" t="s">
        <v>393</v>
      </c>
      <c r="C183" t="s">
        <v>394</v>
      </c>
      <c r="D183" t="s">
        <v>8</v>
      </c>
      <c r="E183" s="3" t="str">
        <f>HYPERLINK("http://www.otzar.org/book.asp?141237","באור החסידות - 5 כר'")</f>
        <v>באור החסידות - 5 כר'</v>
      </c>
    </row>
    <row r="184" spans="1:5" x14ac:dyDescent="0.2">
      <c r="A184" t="s">
        <v>395</v>
      </c>
      <c r="B184" t="s">
        <v>396</v>
      </c>
      <c r="C184" t="s">
        <v>34</v>
      </c>
      <c r="D184" t="s">
        <v>8</v>
      </c>
      <c r="E184" s="3" t="str">
        <f>HYPERLINK("http://www.otzar.org/book.asp?154697","באר החסידות (פירוש על דרך מצותיך) - 3 כר'")</f>
        <v>באר החסידות (פירוש על דרך מצותיך) - 3 כר'</v>
      </c>
    </row>
    <row r="185" spans="1:5" x14ac:dyDescent="0.2">
      <c r="A185" t="s">
        <v>397</v>
      </c>
      <c r="B185" t="s">
        <v>398</v>
      </c>
      <c r="C185" t="s">
        <v>399</v>
      </c>
      <c r="D185" t="s">
        <v>98</v>
      </c>
      <c r="E185" s="3" t="str">
        <f>HYPERLINK("http://www.otzar.org/book.asp?141479","באר החסידות משנת חב""ד - 2 כר'")</f>
        <v>באר החסידות משנת חב"ד - 2 כר'</v>
      </c>
    </row>
    <row r="186" spans="1:5" x14ac:dyDescent="0.2">
      <c r="A186" t="s">
        <v>400</v>
      </c>
      <c r="B186" t="s">
        <v>400</v>
      </c>
      <c r="C186" t="s">
        <v>11</v>
      </c>
      <c r="D186" t="s">
        <v>8</v>
      </c>
      <c r="E186" s="3" t="str">
        <f>HYPERLINK("http://www.otzar.org/book.asp?162758","באתי לגני")</f>
        <v>באתי לגני</v>
      </c>
    </row>
    <row r="187" spans="1:5" x14ac:dyDescent="0.2">
      <c r="A187" t="s">
        <v>401</v>
      </c>
      <c r="B187" t="s">
        <v>43</v>
      </c>
      <c r="C187" t="s">
        <v>31</v>
      </c>
      <c r="D187" t="s">
        <v>92</v>
      </c>
      <c r="E187" s="3" t="str">
        <f>HYPERLINK("http://www.otzar.org/book.asp?26689","בד קודש - 2 כר'")</f>
        <v>בד קודש - 2 כר'</v>
      </c>
    </row>
    <row r="188" spans="1:5" x14ac:dyDescent="0.2">
      <c r="A188" t="s">
        <v>402</v>
      </c>
      <c r="B188" t="s">
        <v>403</v>
      </c>
      <c r="C188" t="s">
        <v>404</v>
      </c>
      <c r="D188" t="s">
        <v>8</v>
      </c>
      <c r="E188" s="3" t="str">
        <f>HYPERLINK("http://www.otzar.org/book.asp?8935","בדבר מלך - 3 כר'")</f>
        <v>בדבר מלך - 3 כר'</v>
      </c>
    </row>
    <row r="189" spans="1:5" x14ac:dyDescent="0.2">
      <c r="A189" t="s">
        <v>405</v>
      </c>
      <c r="B189" t="s">
        <v>406</v>
      </c>
      <c r="C189" t="s">
        <v>76</v>
      </c>
      <c r="D189" t="s">
        <v>166</v>
      </c>
      <c r="E189" s="3" t="str">
        <f>HYPERLINK("http://www.otzar.org/book.asp?53165","בדרך אל החירות האמיתית")</f>
        <v>בדרך אל החירות האמיתית</v>
      </c>
    </row>
    <row r="190" spans="1:5" x14ac:dyDescent="0.2">
      <c r="A190" t="s">
        <v>407</v>
      </c>
      <c r="B190" t="s">
        <v>108</v>
      </c>
      <c r="C190" t="s">
        <v>67</v>
      </c>
      <c r="D190" t="s">
        <v>408</v>
      </c>
      <c r="E190" s="3" t="str">
        <f>HYPERLINK("http://www.otzar.org/book.asp?26477","בדרך תמים - א")</f>
        <v>בדרך תמים - א</v>
      </c>
    </row>
    <row r="191" spans="1:5" x14ac:dyDescent="0.2">
      <c r="A191" t="s">
        <v>409</v>
      </c>
      <c r="B191" t="s">
        <v>235</v>
      </c>
      <c r="C191" t="s">
        <v>11</v>
      </c>
      <c r="D191" t="s">
        <v>166</v>
      </c>
      <c r="E191" s="3" t="str">
        <f>HYPERLINK("http://www.otzar.org/book.asp?164310","בדרכי הבעל שם טוב")</f>
        <v>בדרכי הבעל שם טוב</v>
      </c>
    </row>
    <row r="192" spans="1:5" x14ac:dyDescent="0.2">
      <c r="A192" t="s">
        <v>410</v>
      </c>
      <c r="B192" t="s">
        <v>6</v>
      </c>
      <c r="C192" t="s">
        <v>44</v>
      </c>
      <c r="D192" t="s">
        <v>8</v>
      </c>
      <c r="E192" s="3" t="str">
        <f>HYPERLINK("http://www.otzar.org/book.asp?614956","בהיכל מלך")</f>
        <v>בהיכל מלך</v>
      </c>
    </row>
    <row r="193" spans="1:5" x14ac:dyDescent="0.2">
      <c r="A193" t="s">
        <v>411</v>
      </c>
      <c r="B193" t="s">
        <v>412</v>
      </c>
      <c r="C193" t="s">
        <v>73</v>
      </c>
      <c r="D193" t="s">
        <v>12</v>
      </c>
      <c r="E193" s="3" t="str">
        <f>HYPERLINK("http://www.otzar.org/book.asp?614914","בהשגחה פרטית")</f>
        <v>בהשגחה פרטית</v>
      </c>
    </row>
    <row r="194" spans="1:5" x14ac:dyDescent="0.2">
      <c r="A194" t="s">
        <v>413</v>
      </c>
      <c r="B194" t="s">
        <v>414</v>
      </c>
      <c r="C194" t="s">
        <v>415</v>
      </c>
      <c r="D194" t="s">
        <v>26</v>
      </c>
      <c r="E194" s="3" t="str">
        <f>HYPERLINK("http://www.otzar.org/book.asp?11863","בונה ירושלם")</f>
        <v>בונה ירושלם</v>
      </c>
    </row>
    <row r="195" spans="1:5" x14ac:dyDescent="0.2">
      <c r="A195" t="s">
        <v>416</v>
      </c>
      <c r="B195" t="s">
        <v>417</v>
      </c>
      <c r="C195" t="s">
        <v>418</v>
      </c>
      <c r="D195" t="s">
        <v>26</v>
      </c>
      <c r="E195" s="3" t="str">
        <f>HYPERLINK("http://www.otzar.org/book.asp?11715","בוצינא דנהורא - 2 כר'")</f>
        <v>בוצינא דנהורא - 2 כר'</v>
      </c>
    </row>
    <row r="196" spans="1:5" x14ac:dyDescent="0.2">
      <c r="A196" t="s">
        <v>419</v>
      </c>
      <c r="B196" t="s">
        <v>420</v>
      </c>
      <c r="C196" t="s">
        <v>11</v>
      </c>
      <c r="D196" t="s">
        <v>166</v>
      </c>
      <c r="E196" s="3" t="str">
        <f>HYPERLINK("http://www.otzar.org/book.asp?162989","בזאת תבחנו - 3 כר'")</f>
        <v>בזאת תבחנו - 3 כר'</v>
      </c>
    </row>
    <row r="197" spans="1:5" x14ac:dyDescent="0.2">
      <c r="A197" t="s">
        <v>421</v>
      </c>
      <c r="B197" t="s">
        <v>422</v>
      </c>
      <c r="C197" t="s">
        <v>44</v>
      </c>
      <c r="D197" t="s">
        <v>8</v>
      </c>
      <c r="E197" s="3" t="str">
        <f>HYPERLINK("http://www.otzar.org/book.asp?173571","בחודש השביעי - 7 כר'")</f>
        <v>בחודש השביעי - 7 כר'</v>
      </c>
    </row>
    <row r="198" spans="1:5" x14ac:dyDescent="0.2">
      <c r="A198" t="s">
        <v>423</v>
      </c>
      <c r="B198" t="s">
        <v>30</v>
      </c>
      <c r="C198" t="s">
        <v>76</v>
      </c>
      <c r="D198" t="s">
        <v>80</v>
      </c>
      <c r="E198" s="3" t="str">
        <f>HYPERLINK("http://www.otzar.org/book.asp?195736","בחירתו של הפיקח")</f>
        <v>בחירתו של הפיקח</v>
      </c>
    </row>
    <row r="199" spans="1:5" x14ac:dyDescent="0.2">
      <c r="A199" t="s">
        <v>424</v>
      </c>
      <c r="B199" t="s">
        <v>108</v>
      </c>
      <c r="C199" t="s">
        <v>65</v>
      </c>
      <c r="D199" t="s">
        <v>8</v>
      </c>
      <c r="E199" s="3" t="str">
        <f>HYPERLINK("http://www.otzar.org/book.asp?27333","בחצרות המלך - א")</f>
        <v>בחצרות המלך - א</v>
      </c>
    </row>
    <row r="200" spans="1:5" x14ac:dyDescent="0.2">
      <c r="A200" t="s">
        <v>425</v>
      </c>
      <c r="B200" t="s">
        <v>6</v>
      </c>
      <c r="E200" s="3" t="str">
        <f>HYPERLINK("http://www.otzar.org/book.asp?607905","בחצרות קדשנו")</f>
        <v>בחצרות קדשנו</v>
      </c>
    </row>
    <row r="201" spans="1:5" x14ac:dyDescent="0.2">
      <c r="A201" t="s">
        <v>426</v>
      </c>
      <c r="B201" t="s">
        <v>427</v>
      </c>
      <c r="C201" t="s">
        <v>428</v>
      </c>
      <c r="D201" t="s">
        <v>12</v>
      </c>
      <c r="E201" s="3" t="str">
        <f>HYPERLINK("http://www.otzar.org/book.asp?147689","בטאון חב""ד - 12 כר'")</f>
        <v>בטאון חב"ד - 12 כר'</v>
      </c>
    </row>
    <row r="202" spans="1:5" x14ac:dyDescent="0.2">
      <c r="A202" t="s">
        <v>429</v>
      </c>
      <c r="B202" t="s">
        <v>194</v>
      </c>
      <c r="C202" t="s">
        <v>327</v>
      </c>
      <c r="D202" t="s">
        <v>71</v>
      </c>
      <c r="E202" s="3" t="str">
        <f>HYPERLINK("http://www.otzar.org/book.asp?27123","ביאור הלכות שבת - 2 כר'")</f>
        <v>ביאור הלכות שבת - 2 כר'</v>
      </c>
    </row>
    <row r="203" spans="1:5" x14ac:dyDescent="0.2">
      <c r="A203" t="s">
        <v>430</v>
      </c>
      <c r="B203" t="s">
        <v>431</v>
      </c>
      <c r="C203" t="s">
        <v>15</v>
      </c>
      <c r="D203" t="s">
        <v>208</v>
      </c>
      <c r="E203" s="3" t="str">
        <f>HYPERLINK("http://www.otzar.org/book.asp?607707","ביאור לתניא")</f>
        <v>ביאור לתניא</v>
      </c>
    </row>
    <row r="204" spans="1:5" x14ac:dyDescent="0.2">
      <c r="A204" t="s">
        <v>432</v>
      </c>
      <c r="B204" t="s">
        <v>433</v>
      </c>
      <c r="C204" t="s">
        <v>82</v>
      </c>
      <c r="D204" t="s">
        <v>8</v>
      </c>
      <c r="E204" s="3" t="str">
        <f>HYPERLINK("http://www.otzar.org/book.asp?607886","ביאור על התניא")</f>
        <v>ביאור על התניא</v>
      </c>
    </row>
    <row r="205" spans="1:5" x14ac:dyDescent="0.2">
      <c r="A205" t="s">
        <v>434</v>
      </c>
      <c r="B205" t="s">
        <v>435</v>
      </c>
      <c r="C205" t="s">
        <v>436</v>
      </c>
      <c r="D205" t="s">
        <v>12</v>
      </c>
      <c r="E205" s="3" t="str">
        <f>HYPERLINK("http://www.otzar.org/book.asp?146327","ביאור פרשת גדולת החג י""ט כסלו")</f>
        <v>ביאור פרשת גדולת החג י"ט כסלו</v>
      </c>
    </row>
    <row r="206" spans="1:5" x14ac:dyDescent="0.2">
      <c r="A206" t="s">
        <v>437</v>
      </c>
      <c r="B206" t="s">
        <v>438</v>
      </c>
      <c r="C206" t="s">
        <v>54</v>
      </c>
      <c r="D206" t="s">
        <v>8</v>
      </c>
      <c r="E206" s="3" t="str">
        <f>HYPERLINK("http://www.otzar.org/book.asp?173565","ביאור תניא - פרקים א-כו")</f>
        <v>ביאור תניא - פרקים א-כו</v>
      </c>
    </row>
    <row r="207" spans="1:5" x14ac:dyDescent="0.2">
      <c r="A207" t="s">
        <v>439</v>
      </c>
      <c r="B207" t="s">
        <v>440</v>
      </c>
      <c r="C207" t="s">
        <v>15</v>
      </c>
      <c r="D207" t="s">
        <v>8</v>
      </c>
      <c r="E207" s="3" t="str">
        <f>HYPERLINK("http://www.otzar.org/book.asp?189059","ביאורי הזהר - 2 כר'")</f>
        <v>ביאורי הזהר - 2 כר'</v>
      </c>
    </row>
    <row r="208" spans="1:5" x14ac:dyDescent="0.2">
      <c r="A208" t="s">
        <v>439</v>
      </c>
      <c r="B208" t="s">
        <v>62</v>
      </c>
      <c r="C208" t="s">
        <v>161</v>
      </c>
      <c r="D208" t="s">
        <v>8</v>
      </c>
      <c r="E208" s="3" t="str">
        <f>HYPERLINK("http://www.otzar.org/book.asp?27151","ביאורי הזהר - 2 כר'")</f>
        <v>ביאורי הזהר - 2 כר'</v>
      </c>
    </row>
    <row r="209" spans="1:5" x14ac:dyDescent="0.2">
      <c r="A209" t="s">
        <v>441</v>
      </c>
      <c r="B209" t="s">
        <v>30</v>
      </c>
      <c r="C209" t="s">
        <v>39</v>
      </c>
      <c r="D209" t="s">
        <v>40</v>
      </c>
      <c r="E209" s="3" t="str">
        <f>HYPERLINK("http://www.otzar.org/book.asp?29328","ביאורי החומש - 6 כר'")</f>
        <v>ביאורי החומש - 6 כר'</v>
      </c>
    </row>
    <row r="210" spans="1:5" x14ac:dyDescent="0.2">
      <c r="A210" t="s">
        <v>442</v>
      </c>
      <c r="B210" t="s">
        <v>443</v>
      </c>
      <c r="C210" t="s">
        <v>76</v>
      </c>
      <c r="D210" t="s">
        <v>12</v>
      </c>
      <c r="E210" s="3" t="str">
        <f>HYPERLINK("http://www.otzar.org/book.asp?141459","ביאורי המקובל רבינו הירץ ש""ץ - דברים")</f>
        <v>ביאורי המקובל רבינו הירץ ש"ץ - דברים</v>
      </c>
    </row>
    <row r="211" spans="1:5" x14ac:dyDescent="0.2">
      <c r="A211" t="s">
        <v>444</v>
      </c>
      <c r="B211" t="s">
        <v>445</v>
      </c>
      <c r="C211" t="s">
        <v>129</v>
      </c>
      <c r="D211" t="s">
        <v>8</v>
      </c>
      <c r="E211" s="3" t="str">
        <f>HYPERLINK("http://www.otzar.org/book.asp?142651","ביאורי הרב ניסן נמנוב על תניא")</f>
        <v>ביאורי הרב ניסן נמנוב על תניא</v>
      </c>
    </row>
    <row r="212" spans="1:5" x14ac:dyDescent="0.2">
      <c r="A212" t="s">
        <v>446</v>
      </c>
      <c r="B212" t="s">
        <v>447</v>
      </c>
      <c r="C212" t="s">
        <v>448</v>
      </c>
      <c r="D212" t="s">
        <v>332</v>
      </c>
      <c r="E212" s="3" t="str">
        <f>HYPERLINK("http://www.otzar.org/book.asp?147687","ביאורי הרנ""ג על התניא")</f>
        <v>ביאורי הרנ"ג על התניא</v>
      </c>
    </row>
    <row r="213" spans="1:5" x14ac:dyDescent="0.2">
      <c r="A213" t="s">
        <v>449</v>
      </c>
      <c r="B213" t="s">
        <v>30</v>
      </c>
      <c r="C213" t="s">
        <v>76</v>
      </c>
      <c r="D213" t="s">
        <v>19</v>
      </c>
      <c r="E213" s="3" t="str">
        <f>HYPERLINK("http://www.otzar.org/book.asp?146302","ביאורי כ""ק אדמו""ר שליט""א בליקוטי לוי יצחק")</f>
        <v>ביאורי כ"ק אדמו"ר שליט"א בליקוטי לוי יצחק</v>
      </c>
    </row>
    <row r="214" spans="1:5" x14ac:dyDescent="0.2">
      <c r="A214" t="s">
        <v>450</v>
      </c>
      <c r="B214" t="s">
        <v>33</v>
      </c>
      <c r="C214" t="s">
        <v>11</v>
      </c>
      <c r="D214" t="s">
        <v>12</v>
      </c>
      <c r="E214" s="3" t="str">
        <f>HYPERLINK("http://www.otzar.org/book.asp?167756","ביאורי סוגיות")</f>
        <v>ביאורי סוגיות</v>
      </c>
    </row>
    <row r="215" spans="1:5" x14ac:dyDescent="0.2">
      <c r="A215" t="s">
        <v>451</v>
      </c>
      <c r="B215" t="s">
        <v>452</v>
      </c>
      <c r="C215" t="s">
        <v>54</v>
      </c>
      <c r="D215" t="s">
        <v>12</v>
      </c>
      <c r="E215" s="3" t="str">
        <f>HYPERLINK("http://www.otzar.org/book.asp?164359","ביאורי ר' שלמה חיים")</f>
        <v>ביאורי ר' שלמה חיים</v>
      </c>
    </row>
    <row r="216" spans="1:5" x14ac:dyDescent="0.2">
      <c r="A216" t="s">
        <v>453</v>
      </c>
      <c r="B216" t="s">
        <v>454</v>
      </c>
      <c r="C216" t="s">
        <v>82</v>
      </c>
      <c r="D216" t="s">
        <v>162</v>
      </c>
      <c r="E216" s="3" t="str">
        <f>HYPERLINK("http://www.otzar.org/book.asp?196286","ביאורים באגדות הש""ס")</f>
        <v>ביאורים באגדות הש"ס</v>
      </c>
    </row>
    <row r="217" spans="1:5" x14ac:dyDescent="0.2">
      <c r="A217" t="s">
        <v>455</v>
      </c>
      <c r="B217" t="s">
        <v>108</v>
      </c>
      <c r="C217" t="s">
        <v>201</v>
      </c>
      <c r="D217" t="s">
        <v>40</v>
      </c>
      <c r="E217" s="3" t="str">
        <f>HYPERLINK("http://www.otzar.org/book.asp?27365","ביאורים בהלכה - א (הלכות נדה)")</f>
        <v>ביאורים בהלכה - א (הלכות נדה)</v>
      </c>
    </row>
    <row r="218" spans="1:5" x14ac:dyDescent="0.2">
      <c r="A218" t="s">
        <v>456</v>
      </c>
      <c r="B218" t="s">
        <v>30</v>
      </c>
      <c r="C218" t="s">
        <v>82</v>
      </c>
      <c r="D218" t="s">
        <v>12</v>
      </c>
      <c r="E218" s="3" t="str">
        <f>HYPERLINK("http://www.otzar.org/book.asp?607867","ביאורים במאמרי רבינו - 4 כר'")</f>
        <v>ביאורים במאמרי רבינו - 4 כר'</v>
      </c>
    </row>
    <row r="219" spans="1:5" x14ac:dyDescent="0.2">
      <c r="A219" t="s">
        <v>457</v>
      </c>
      <c r="B219" t="s">
        <v>458</v>
      </c>
      <c r="C219" t="s">
        <v>54</v>
      </c>
      <c r="D219" t="s">
        <v>332</v>
      </c>
      <c r="E219" s="3" t="str">
        <f>HYPERLINK("http://www.otzar.org/book.asp?173500","ביאורים בספר התניא - 4 כר'")</f>
        <v>ביאורים בספר התניא - 4 כר'</v>
      </c>
    </row>
    <row r="220" spans="1:5" x14ac:dyDescent="0.2">
      <c r="A220" t="s">
        <v>459</v>
      </c>
      <c r="B220" t="s">
        <v>30</v>
      </c>
      <c r="C220" t="s">
        <v>201</v>
      </c>
      <c r="D220" t="s">
        <v>8</v>
      </c>
      <c r="E220" s="3" t="str">
        <f>HYPERLINK("http://www.otzar.org/book.asp?143271","ביאורים בצוואת הריב""ש")</f>
        <v>ביאורים בצוואת הריב"ש</v>
      </c>
    </row>
    <row r="221" spans="1:5" x14ac:dyDescent="0.2">
      <c r="A221" t="s">
        <v>460</v>
      </c>
      <c r="B221" t="s">
        <v>461</v>
      </c>
      <c r="C221" t="s">
        <v>82</v>
      </c>
      <c r="D221" t="s">
        <v>12</v>
      </c>
      <c r="E221" s="3" t="str">
        <f>HYPERLINK("http://www.otzar.org/book.asp?607687","ביאורים בתורת רבינו - 2 כר'")</f>
        <v>ביאורים בתורת רבינו - 2 כר'</v>
      </c>
    </row>
    <row r="222" spans="1:5" x14ac:dyDescent="0.2">
      <c r="A222" t="s">
        <v>462</v>
      </c>
      <c r="B222" t="s">
        <v>108</v>
      </c>
      <c r="C222" t="s">
        <v>276</v>
      </c>
      <c r="D222" t="s">
        <v>463</v>
      </c>
      <c r="E222" s="3" t="str">
        <f>HYPERLINK("http://www.otzar.org/book.asp?160413","ביאורים ובירורים במסכת שבת")</f>
        <v>ביאורים ובירורים במסכת שבת</v>
      </c>
    </row>
    <row r="223" spans="1:5" x14ac:dyDescent="0.2">
      <c r="A223" t="s">
        <v>464</v>
      </c>
      <c r="B223" t="s">
        <v>465</v>
      </c>
      <c r="C223" t="s">
        <v>126</v>
      </c>
      <c r="D223" t="s">
        <v>8</v>
      </c>
      <c r="E223" s="3" t="str">
        <f>HYPERLINK("http://www.otzar.org/book.asp?140827","ביאורים והערות בקו""א לש""ע רבינו הזקן")</f>
        <v>ביאורים והערות בקו"א לש"ע רבינו הזקן</v>
      </c>
    </row>
    <row r="224" spans="1:5" x14ac:dyDescent="0.2">
      <c r="A224" t="s">
        <v>466</v>
      </c>
      <c r="B224" t="s">
        <v>207</v>
      </c>
      <c r="C224" t="s">
        <v>76</v>
      </c>
      <c r="D224" t="s">
        <v>467</v>
      </c>
      <c r="E224" s="3" t="str">
        <f>HYPERLINK("http://www.otzar.org/book.asp?141471","ביאורים לנוסח ברכת אירוסין ונישואין")</f>
        <v>ביאורים לנוסח ברכת אירוסין ונישואין</v>
      </c>
    </row>
    <row r="225" spans="1:5" x14ac:dyDescent="0.2">
      <c r="A225" t="s">
        <v>468</v>
      </c>
      <c r="B225" t="s">
        <v>30</v>
      </c>
      <c r="C225" t="s">
        <v>67</v>
      </c>
      <c r="D225" t="s">
        <v>8</v>
      </c>
      <c r="E225" s="3" t="str">
        <f>HYPERLINK("http://www.otzar.org/book.asp?14123","ביאורים לפירוש רש""י על התורה - 7 כר'")</f>
        <v>ביאורים לפירוש רש"י על התורה - 7 כר'</v>
      </c>
    </row>
    <row r="226" spans="1:5" x14ac:dyDescent="0.2">
      <c r="A226" t="s">
        <v>469</v>
      </c>
      <c r="B226" t="s">
        <v>30</v>
      </c>
      <c r="C226" t="s">
        <v>18</v>
      </c>
      <c r="D226" t="s">
        <v>8</v>
      </c>
      <c r="E226" s="3" t="str">
        <f>HYPERLINK("http://www.otzar.org/book.asp?27248","ביאורים לפרקי אבות - 2 כר'")</f>
        <v>ביאורים לפרקי אבות - 2 כר'</v>
      </c>
    </row>
    <row r="227" spans="1:5" x14ac:dyDescent="0.2">
      <c r="A227" t="s">
        <v>470</v>
      </c>
      <c r="B227" t="s">
        <v>471</v>
      </c>
      <c r="C227" t="s">
        <v>88</v>
      </c>
      <c r="D227" t="s">
        <v>12</v>
      </c>
      <c r="E227" s="3" t="str">
        <f>HYPERLINK("http://www.otzar.org/book.asp?85383","ביאורים על התניא")</f>
        <v>ביאורים על התניא</v>
      </c>
    </row>
    <row r="228" spans="1:5" x14ac:dyDescent="0.2">
      <c r="A228" t="s">
        <v>472</v>
      </c>
      <c r="B228" t="s">
        <v>473</v>
      </c>
      <c r="C228" t="s">
        <v>44</v>
      </c>
      <c r="D228" t="s">
        <v>101</v>
      </c>
      <c r="E228" s="3" t="str">
        <f>HYPERLINK("http://www.otzar.org/book.asp?173581","ביום שמחתכם ומועדיכם")</f>
        <v>ביום שמחתכם ומועדיכם</v>
      </c>
    </row>
    <row r="229" spans="1:5" x14ac:dyDescent="0.2">
      <c r="A229" t="s">
        <v>474</v>
      </c>
      <c r="B229" t="s">
        <v>108</v>
      </c>
      <c r="C229" t="s">
        <v>152</v>
      </c>
      <c r="D229" t="s">
        <v>40</v>
      </c>
      <c r="E229" s="3" t="str">
        <f>HYPERLINK("http://www.otzar.org/book.asp?27359","ביכורי תורת אמת")</f>
        <v>ביכורי תורת אמת</v>
      </c>
    </row>
    <row r="230" spans="1:5" x14ac:dyDescent="0.2">
      <c r="A230" t="s">
        <v>475</v>
      </c>
      <c r="B230" t="s">
        <v>476</v>
      </c>
      <c r="C230" t="s">
        <v>477</v>
      </c>
      <c r="D230" t="s">
        <v>19</v>
      </c>
      <c r="E230" s="3" t="str">
        <f>HYPERLINK("http://www.otzar.org/book.asp?142714","בימים ההם")</f>
        <v>בימים ההם</v>
      </c>
    </row>
    <row r="231" spans="1:5" x14ac:dyDescent="0.2">
      <c r="A231" t="s">
        <v>478</v>
      </c>
      <c r="B231" t="s">
        <v>479</v>
      </c>
      <c r="C231" t="s">
        <v>73</v>
      </c>
      <c r="D231" t="s">
        <v>12</v>
      </c>
      <c r="E231" s="3" t="str">
        <f>HYPERLINK("http://www.otzar.org/book.asp?181114","בין הדגים לזמירות - 3 כר'")</f>
        <v>בין הדגים לזמירות - 3 כר'</v>
      </c>
    </row>
    <row r="232" spans="1:5" x14ac:dyDescent="0.2">
      <c r="A232" t="s">
        <v>480</v>
      </c>
      <c r="B232" t="s">
        <v>481</v>
      </c>
      <c r="C232" t="s">
        <v>482</v>
      </c>
      <c r="D232" t="s">
        <v>40</v>
      </c>
      <c r="E232" s="3" t="str">
        <f>HYPERLINK("http://www.otzar.org/book.asp?614818","בין החומות - 2 כר'")</f>
        <v>בין החומות - 2 כר'</v>
      </c>
    </row>
    <row r="233" spans="1:5" x14ac:dyDescent="0.2">
      <c r="A233" t="s">
        <v>483</v>
      </c>
      <c r="B233" t="s">
        <v>484</v>
      </c>
      <c r="C233" t="s">
        <v>73</v>
      </c>
      <c r="D233" t="s">
        <v>8</v>
      </c>
      <c r="E233" s="3" t="str">
        <f>HYPERLINK("http://www.otzar.org/book.asp?181632","בין הצלחת לטבעת")</f>
        <v>בין הצלחת לטבעת</v>
      </c>
    </row>
    <row r="234" spans="1:5" x14ac:dyDescent="0.2">
      <c r="A234" t="s">
        <v>485</v>
      </c>
      <c r="B234" t="s">
        <v>486</v>
      </c>
      <c r="C234" t="s">
        <v>73</v>
      </c>
      <c r="D234" t="s">
        <v>264</v>
      </c>
      <c r="E234" s="3" t="str">
        <f>HYPERLINK("http://www.otzar.org/book.asp?189076","בין ירושלים לאילת")</f>
        <v>בין ירושלים לאילת</v>
      </c>
    </row>
    <row r="235" spans="1:5" x14ac:dyDescent="0.2">
      <c r="A235" t="s">
        <v>487</v>
      </c>
      <c r="B235" t="s">
        <v>38</v>
      </c>
      <c r="C235" t="s">
        <v>488</v>
      </c>
      <c r="D235" t="s">
        <v>92</v>
      </c>
      <c r="E235" s="3" t="str">
        <f>HYPERLINK("http://www.otzar.org/book.asp?106100","ביקור שיקאגא - 2 כר'")</f>
        <v>ביקור שיקאגא - 2 כר'</v>
      </c>
    </row>
    <row r="236" spans="1:5" x14ac:dyDescent="0.2">
      <c r="A236" t="s">
        <v>489</v>
      </c>
      <c r="B236" t="s">
        <v>490</v>
      </c>
      <c r="C236" t="s">
        <v>111</v>
      </c>
      <c r="D236" t="s">
        <v>8</v>
      </c>
      <c r="E236" s="3" t="str">
        <f>HYPERLINK("http://www.otzar.org/book.asp?146410","בירור שיטות הב""י הגר""א ובעל התניא בענין ברכות התורה")</f>
        <v>בירור שיטות הב"י הגר"א ובעל התניא בענין ברכות התורה</v>
      </c>
    </row>
    <row r="237" spans="1:5" x14ac:dyDescent="0.2">
      <c r="A237" t="s">
        <v>491</v>
      </c>
      <c r="B237" t="s">
        <v>492</v>
      </c>
      <c r="C237" t="s">
        <v>34</v>
      </c>
      <c r="D237" t="s">
        <v>249</v>
      </c>
      <c r="E237" s="3" t="str">
        <f>HYPERLINK("http://www.otzar.org/book.asp?154691","בירורי מנהגים - 2 כר'")</f>
        <v>בירורי מנהגים - 2 כר'</v>
      </c>
    </row>
    <row r="238" spans="1:5" x14ac:dyDescent="0.2">
      <c r="A238" t="s">
        <v>493</v>
      </c>
      <c r="B238" t="s">
        <v>30</v>
      </c>
      <c r="C238" t="s">
        <v>52</v>
      </c>
      <c r="D238" t="s">
        <v>323</v>
      </c>
      <c r="E238" s="3" t="str">
        <f>HYPERLINK("http://www.otzar.org/book.asp?28791","בית בישראל בנין עדי עד")</f>
        <v>בית בישראל בנין עדי עד</v>
      </c>
    </row>
    <row r="239" spans="1:5" x14ac:dyDescent="0.2">
      <c r="A239" t="s">
        <v>494</v>
      </c>
      <c r="B239" t="s">
        <v>280</v>
      </c>
      <c r="C239" t="s">
        <v>165</v>
      </c>
      <c r="D239" t="s">
        <v>12</v>
      </c>
      <c r="E239" s="3" t="str">
        <f>HYPERLINK("http://www.otzar.org/book.asp?141644","בית במזרח - עשור לפעילות חב""ד תאילנד")</f>
        <v>בית במזרח - עשור לפעילות חב"ד תאילנד</v>
      </c>
    </row>
    <row r="240" spans="1:5" x14ac:dyDescent="0.2">
      <c r="A240" t="s">
        <v>495</v>
      </c>
      <c r="B240" t="s">
        <v>496</v>
      </c>
      <c r="C240" t="s">
        <v>52</v>
      </c>
      <c r="D240" t="s">
        <v>40</v>
      </c>
      <c r="E240" s="3" t="str">
        <f>HYPERLINK("http://www.otzar.org/book.asp?27564","בית הכנסת חב""ד ליובאוויטש - התולדות והמורשת")</f>
        <v>בית הכנסת חב"ד ליובאוויטש - התולדות והמורשת</v>
      </c>
    </row>
    <row r="241" spans="1:5" x14ac:dyDescent="0.2">
      <c r="A241" t="s">
        <v>497</v>
      </c>
      <c r="B241" t="s">
        <v>103</v>
      </c>
      <c r="C241" t="s">
        <v>327</v>
      </c>
      <c r="D241" t="s">
        <v>40</v>
      </c>
      <c r="E241" s="3" t="str">
        <f>HYPERLINK("http://www.otzar.org/book.asp?27859","בית חיינו 770")</f>
        <v>בית חיינו 770</v>
      </c>
    </row>
    <row r="242" spans="1:5" x14ac:dyDescent="0.2">
      <c r="A242" t="s">
        <v>498</v>
      </c>
      <c r="B242" t="s">
        <v>499</v>
      </c>
      <c r="C242" t="s">
        <v>500</v>
      </c>
      <c r="D242" t="s">
        <v>8</v>
      </c>
      <c r="E242" s="3" t="str">
        <f>HYPERLINK("http://www.otzar.org/book.asp?189915","בית חיינו - 5 כר'")</f>
        <v>בית חיינו - 5 כר'</v>
      </c>
    </row>
    <row r="243" spans="1:5" x14ac:dyDescent="0.2">
      <c r="A243" t="s">
        <v>501</v>
      </c>
      <c r="B243" t="s">
        <v>502</v>
      </c>
      <c r="C243" t="s">
        <v>503</v>
      </c>
      <c r="D243" t="s">
        <v>504</v>
      </c>
      <c r="E243" s="3" t="str">
        <f>HYPERLINK("http://www.otzar.org/book.asp?15758","בית ישראל")</f>
        <v>בית ישראל</v>
      </c>
    </row>
    <row r="244" spans="1:5" x14ac:dyDescent="0.2">
      <c r="A244" t="s">
        <v>501</v>
      </c>
      <c r="B244" t="s">
        <v>505</v>
      </c>
      <c r="C244" t="s">
        <v>183</v>
      </c>
      <c r="D244" t="s">
        <v>40</v>
      </c>
      <c r="E244" s="3" t="str">
        <f>HYPERLINK("http://www.otzar.org/book.asp?26488","בית ישראל")</f>
        <v>בית ישראל</v>
      </c>
    </row>
    <row r="245" spans="1:5" x14ac:dyDescent="0.2">
      <c r="A245" t="s">
        <v>506</v>
      </c>
      <c r="B245" t="s">
        <v>30</v>
      </c>
      <c r="C245" t="s">
        <v>15</v>
      </c>
      <c r="D245" t="s">
        <v>12</v>
      </c>
      <c r="E245" s="3" t="str">
        <f>HYPERLINK("http://www.otzar.org/book.asp?607469","בית ישראל - בנין עדי עד")</f>
        <v>בית ישראל - בנין עדי עד</v>
      </c>
    </row>
    <row r="246" spans="1:5" x14ac:dyDescent="0.2">
      <c r="A246" t="s">
        <v>507</v>
      </c>
      <c r="B246" t="s">
        <v>164</v>
      </c>
      <c r="C246" t="s">
        <v>34</v>
      </c>
      <c r="D246" t="s">
        <v>166</v>
      </c>
      <c r="E246" s="3" t="str">
        <f>HYPERLINK("http://www.otzar.org/book.asp?153363","בית מאושר")</f>
        <v>בית מאושר</v>
      </c>
    </row>
    <row r="247" spans="1:5" x14ac:dyDescent="0.2">
      <c r="A247" t="s">
        <v>508</v>
      </c>
      <c r="B247" t="s">
        <v>108</v>
      </c>
      <c r="C247" t="s">
        <v>65</v>
      </c>
      <c r="D247" t="s">
        <v>12</v>
      </c>
      <c r="E247" s="3" t="str">
        <f>HYPERLINK("http://www.otzar.org/book.asp?27483","בית מלך")</f>
        <v>בית מלך</v>
      </c>
    </row>
    <row r="248" spans="1:5" x14ac:dyDescent="0.2">
      <c r="A248" t="s">
        <v>509</v>
      </c>
      <c r="B248" t="s">
        <v>510</v>
      </c>
      <c r="C248" t="s">
        <v>18</v>
      </c>
      <c r="D248" t="s">
        <v>12</v>
      </c>
      <c r="E248" s="3" t="str">
        <f>HYPERLINK("http://www.otzar.org/book.asp?27644","בית רבותינו נשיאנו ברוסטוב")</f>
        <v>בית רבותינו נשיאנו ברוסטוב</v>
      </c>
    </row>
    <row r="249" spans="1:5" x14ac:dyDescent="0.2">
      <c r="A249" t="s">
        <v>511</v>
      </c>
      <c r="B249" t="s">
        <v>512</v>
      </c>
      <c r="C249" t="s">
        <v>201</v>
      </c>
      <c r="D249" t="s">
        <v>12</v>
      </c>
      <c r="E249" s="3" t="str">
        <f>HYPERLINK("http://www.otzar.org/book.asp?141439","בית רבקה")</f>
        <v>בית רבקה</v>
      </c>
    </row>
    <row r="250" spans="1:5" x14ac:dyDescent="0.2">
      <c r="A250" t="s">
        <v>513</v>
      </c>
      <c r="B250" t="s">
        <v>514</v>
      </c>
      <c r="C250" t="s">
        <v>31</v>
      </c>
      <c r="D250" t="s">
        <v>8</v>
      </c>
      <c r="E250" s="3" t="str">
        <f>HYPERLINK("http://www.otzar.org/book.asp?614986","בכל מכל כל - 6 כר'")</f>
        <v>בכל מכל כל - 6 כר'</v>
      </c>
    </row>
    <row r="251" spans="1:5" x14ac:dyDescent="0.2">
      <c r="A251" t="s">
        <v>515</v>
      </c>
      <c r="B251" t="s">
        <v>6</v>
      </c>
      <c r="C251" t="s">
        <v>76</v>
      </c>
      <c r="D251" t="s">
        <v>19</v>
      </c>
      <c r="E251" s="3" t="str">
        <f>HYPERLINK("http://www.otzar.org/book.asp?607904","בכסה ליום חגנו")</f>
        <v>בכסה ליום חגנו</v>
      </c>
    </row>
    <row r="252" spans="1:5" x14ac:dyDescent="0.2">
      <c r="A252" t="s">
        <v>516</v>
      </c>
      <c r="B252" t="s">
        <v>517</v>
      </c>
      <c r="C252" t="s">
        <v>73</v>
      </c>
      <c r="D252" t="s">
        <v>8</v>
      </c>
      <c r="E252" s="3" t="str">
        <f>HYPERLINK("http://www.otzar.org/book.asp?199157","בלבת אש")</f>
        <v>בלבת אש</v>
      </c>
    </row>
    <row r="253" spans="1:5" x14ac:dyDescent="0.2">
      <c r="A253" t="s">
        <v>518</v>
      </c>
      <c r="B253" t="s">
        <v>10</v>
      </c>
      <c r="C253" t="s">
        <v>54</v>
      </c>
      <c r="D253" t="s">
        <v>19</v>
      </c>
      <c r="E253" s="3" t="str">
        <f>HYPERLINK("http://www.otzar.org/book.asp?193282","במאי קמיפלגי")</f>
        <v>במאי קמיפלגי</v>
      </c>
    </row>
    <row r="254" spans="1:5" x14ac:dyDescent="0.2">
      <c r="A254" t="s">
        <v>519</v>
      </c>
      <c r="B254" t="s">
        <v>520</v>
      </c>
      <c r="C254" t="s">
        <v>500</v>
      </c>
      <c r="D254" t="s">
        <v>19</v>
      </c>
      <c r="E254" s="3" t="str">
        <f>HYPERLINK("http://www.otzar.org/book.asp?193153","במחנה צבאות השם - 4 כר'")</f>
        <v>במחנה צבאות השם - 4 כר'</v>
      </c>
    </row>
    <row r="255" spans="1:5" x14ac:dyDescent="0.2">
      <c r="A255" t="s">
        <v>521</v>
      </c>
      <c r="B255" t="s">
        <v>30</v>
      </c>
      <c r="C255" t="s">
        <v>15</v>
      </c>
      <c r="D255" t="s">
        <v>116</v>
      </c>
      <c r="E255" s="3" t="str">
        <f>HYPERLINK("http://www.otzar.org/book.asp?189088","במענה למכתבה")</f>
        <v>במענה למכתבה</v>
      </c>
    </row>
    <row r="256" spans="1:5" x14ac:dyDescent="0.2">
      <c r="A256" t="s">
        <v>522</v>
      </c>
      <c r="B256" t="s">
        <v>522</v>
      </c>
      <c r="C256" t="s">
        <v>276</v>
      </c>
      <c r="D256" t="s">
        <v>12</v>
      </c>
      <c r="E256" s="3" t="str">
        <f>HYPERLINK("http://www.otzar.org/book.asp?27301","בן י""ג למצוות")</f>
        <v>בן י"ג למצוות</v>
      </c>
    </row>
    <row r="257" spans="1:5" x14ac:dyDescent="0.2">
      <c r="A257" t="s">
        <v>523</v>
      </c>
      <c r="B257" t="s">
        <v>30</v>
      </c>
      <c r="C257" t="s">
        <v>119</v>
      </c>
      <c r="D257" t="s">
        <v>8</v>
      </c>
      <c r="E257" s="3" t="str">
        <f>HYPERLINK("http://www.otzar.org/book.asp?142733","בן י""ג למצוות - 5 כר'")</f>
        <v>בן י"ג למצוות - 5 כר'</v>
      </c>
    </row>
    <row r="258" spans="1:5" x14ac:dyDescent="0.2">
      <c r="A258" t="s">
        <v>524</v>
      </c>
      <c r="B258" t="s">
        <v>524</v>
      </c>
      <c r="C258" t="s">
        <v>477</v>
      </c>
      <c r="D258" t="s">
        <v>8</v>
      </c>
      <c r="E258" s="3" t="str">
        <f>HYPERLINK("http://www.otzar.org/book.asp?27899","בנאות דשא")</f>
        <v>בנאות דשא</v>
      </c>
    </row>
    <row r="259" spans="1:5" x14ac:dyDescent="0.2">
      <c r="A259" t="s">
        <v>525</v>
      </c>
      <c r="B259" t="s">
        <v>303</v>
      </c>
      <c r="C259" t="s">
        <v>39</v>
      </c>
      <c r="D259" t="s">
        <v>12</v>
      </c>
      <c r="E259" s="3" t="str">
        <f>HYPERLINK("http://www.otzar.org/book.asp?162897","בנה ביתך")</f>
        <v>בנה ביתך</v>
      </c>
    </row>
    <row r="260" spans="1:5" x14ac:dyDescent="0.2">
      <c r="A260" t="s">
        <v>526</v>
      </c>
      <c r="B260" t="s">
        <v>527</v>
      </c>
      <c r="C260" t="s">
        <v>119</v>
      </c>
      <c r="D260" t="s">
        <v>166</v>
      </c>
      <c r="E260" s="3" t="str">
        <f>HYPERLINK("http://www.otzar.org/book.asp?27567","בנין עדי עד")</f>
        <v>בנין עדי עד</v>
      </c>
    </row>
    <row r="261" spans="1:5" x14ac:dyDescent="0.2">
      <c r="A261" t="s">
        <v>528</v>
      </c>
      <c r="B261" t="s">
        <v>517</v>
      </c>
      <c r="C261" t="s">
        <v>191</v>
      </c>
      <c r="D261" t="s">
        <v>529</v>
      </c>
      <c r="E261" s="3" t="str">
        <f>HYPERLINK("http://www.otzar.org/book.asp?199158","בסוד שיח שרפי קודש")</f>
        <v>בסוד שיח שרפי קודש</v>
      </c>
    </row>
    <row r="262" spans="1:5" x14ac:dyDescent="0.2">
      <c r="A262" t="s">
        <v>530</v>
      </c>
      <c r="B262" t="s">
        <v>531</v>
      </c>
      <c r="C262" t="s">
        <v>22</v>
      </c>
      <c r="D262" t="s">
        <v>12</v>
      </c>
      <c r="E262" s="3" t="str">
        <f>HYPERLINK("http://www.otzar.org/book.asp?141559","בסוד שיח - 3 כר'")</f>
        <v>בסוד שיח - 3 כר'</v>
      </c>
    </row>
    <row r="263" spans="1:5" x14ac:dyDescent="0.2">
      <c r="A263" t="s">
        <v>532</v>
      </c>
      <c r="B263" t="s">
        <v>533</v>
      </c>
      <c r="C263" t="s">
        <v>44</v>
      </c>
      <c r="D263" t="s">
        <v>534</v>
      </c>
      <c r="E263" s="3" t="str">
        <f>HYPERLINK("http://www.otzar.org/book.asp?181499","בעומקה של הלכה")</f>
        <v>בעומקה של הלכה</v>
      </c>
    </row>
    <row r="264" spans="1:5" x14ac:dyDescent="0.2">
      <c r="A264" t="s">
        <v>535</v>
      </c>
      <c r="B264" t="s">
        <v>536</v>
      </c>
      <c r="C264" t="s">
        <v>18</v>
      </c>
      <c r="D264" t="s">
        <v>240</v>
      </c>
      <c r="E264" s="3" t="str">
        <f>HYPERLINK("http://www.otzar.org/book.asp?28836","בעין הלב")</f>
        <v>בעין הלב</v>
      </c>
    </row>
    <row r="265" spans="1:5" x14ac:dyDescent="0.2">
      <c r="A265" t="s">
        <v>537</v>
      </c>
      <c r="B265" t="s">
        <v>538</v>
      </c>
      <c r="C265" t="s">
        <v>18</v>
      </c>
      <c r="D265" t="s">
        <v>40</v>
      </c>
      <c r="E265" s="3" t="str">
        <f>HYPERLINK("http://www.otzar.org/book.asp?27038","בעיניה של אשה")</f>
        <v>בעיניה של אשה</v>
      </c>
    </row>
    <row r="266" spans="1:5" x14ac:dyDescent="0.2">
      <c r="A266" t="s">
        <v>539</v>
      </c>
      <c r="B266" t="s">
        <v>540</v>
      </c>
      <c r="C266" t="s">
        <v>67</v>
      </c>
      <c r="D266" t="s">
        <v>40</v>
      </c>
      <c r="E266" s="3" t="str">
        <f>HYPERLINK("http://www.otzar.org/book.asp?26946","בעל התניא")</f>
        <v>בעל התניא</v>
      </c>
    </row>
    <row r="267" spans="1:5" x14ac:dyDescent="0.2">
      <c r="A267" t="s">
        <v>541</v>
      </c>
      <c r="B267" t="s">
        <v>542</v>
      </c>
      <c r="C267" t="s">
        <v>543</v>
      </c>
      <c r="D267" t="s">
        <v>544</v>
      </c>
      <c r="E267" s="3" t="str">
        <f>HYPERLINK("http://www.otzar.org/book.asp?15378","בעל שם טוב - 2 כר'")</f>
        <v>בעל שם טוב - 2 כר'</v>
      </c>
    </row>
    <row r="268" spans="1:5" x14ac:dyDescent="0.2">
      <c r="A268" t="s">
        <v>541</v>
      </c>
      <c r="B268" t="s">
        <v>545</v>
      </c>
      <c r="C268" t="s">
        <v>176</v>
      </c>
      <c r="D268" t="s">
        <v>40</v>
      </c>
      <c r="E268" s="3" t="str">
        <f>HYPERLINK("http://www.otzar.org/book.asp?7157","בעל שם טוב - 2 כר'")</f>
        <v>בעל שם טוב - 2 כר'</v>
      </c>
    </row>
    <row r="269" spans="1:5" x14ac:dyDescent="0.2">
      <c r="A269" t="s">
        <v>546</v>
      </c>
      <c r="B269" t="s">
        <v>547</v>
      </c>
      <c r="C269" t="s">
        <v>404</v>
      </c>
      <c r="D269" t="s">
        <v>40</v>
      </c>
      <c r="E269" s="3" t="str">
        <f>HYPERLINK("http://www.otzar.org/book.asp?141475","בענין החתך שעושים בתפילין לשים בו היוד")</f>
        <v>בענין החתך שעושים בתפילין לשים בו היוד</v>
      </c>
    </row>
    <row r="270" spans="1:5" x14ac:dyDescent="0.2">
      <c r="A270" t="s">
        <v>548</v>
      </c>
      <c r="B270" t="s">
        <v>30</v>
      </c>
      <c r="C270" t="s">
        <v>111</v>
      </c>
      <c r="D270" t="s">
        <v>549</v>
      </c>
      <c r="E270" s="3" t="str">
        <f>HYPERLINK("http://www.otzar.org/book.asp?140957","בענין פדיון בכורות")</f>
        <v>בענין פדיון בכורות</v>
      </c>
    </row>
    <row r="271" spans="1:5" x14ac:dyDescent="0.2">
      <c r="A271" t="s">
        <v>550</v>
      </c>
      <c r="B271" t="s">
        <v>551</v>
      </c>
      <c r="C271" t="s">
        <v>44</v>
      </c>
      <c r="D271" t="s">
        <v>166</v>
      </c>
      <c r="E271" s="3" t="str">
        <f>HYPERLINK("http://www.otzar.org/book.asp?181531","בעקבות סיפורי חז""ל - א")</f>
        <v>בעקבות סיפורי חז"ל - א</v>
      </c>
    </row>
    <row r="272" spans="1:5" x14ac:dyDescent="0.2">
      <c r="A272" t="s">
        <v>552</v>
      </c>
      <c r="B272" t="s">
        <v>157</v>
      </c>
      <c r="C272" t="s">
        <v>54</v>
      </c>
      <c r="D272" t="s">
        <v>553</v>
      </c>
      <c r="E272" s="3" t="str">
        <f>HYPERLINK("http://www.otzar.org/book.asp?167698","בפיך ובלבבך לעשותו")</f>
        <v>בפיך ובלבבך לעשותו</v>
      </c>
    </row>
    <row r="273" spans="1:5" x14ac:dyDescent="0.2">
      <c r="A273" t="s">
        <v>554</v>
      </c>
      <c r="B273" t="s">
        <v>555</v>
      </c>
      <c r="C273" t="s">
        <v>82</v>
      </c>
      <c r="D273" t="s">
        <v>556</v>
      </c>
      <c r="E273" s="3" t="str">
        <f>HYPERLINK("http://www.otzar.org/book.asp?197177","בפן החינוכי")</f>
        <v>בפן החינוכי</v>
      </c>
    </row>
    <row r="274" spans="1:5" x14ac:dyDescent="0.2">
      <c r="A274" t="s">
        <v>557</v>
      </c>
      <c r="B274" t="s">
        <v>558</v>
      </c>
      <c r="C274" t="s">
        <v>165</v>
      </c>
      <c r="D274" t="s">
        <v>559</v>
      </c>
      <c r="E274" s="3" t="str">
        <f>HYPERLINK("http://www.otzar.org/book.asp?29255","בצרור החיים - 42 כר'")</f>
        <v>בצרור החיים - 42 כר'</v>
      </c>
    </row>
    <row r="275" spans="1:5" x14ac:dyDescent="0.2">
      <c r="A275" t="s">
        <v>560</v>
      </c>
      <c r="B275" t="s">
        <v>224</v>
      </c>
      <c r="C275" t="s">
        <v>49</v>
      </c>
      <c r="D275" t="s">
        <v>40</v>
      </c>
      <c r="E275" s="3" t="str">
        <f>HYPERLINK("http://www.otzar.org/book.asp?141466","בקשו פני")</f>
        <v>בקשו פני</v>
      </c>
    </row>
    <row r="276" spans="1:5" x14ac:dyDescent="0.2">
      <c r="A276" t="s">
        <v>561</v>
      </c>
      <c r="B276" t="s">
        <v>562</v>
      </c>
      <c r="C276" t="s">
        <v>165</v>
      </c>
      <c r="D276" t="s">
        <v>12</v>
      </c>
      <c r="E276" s="3" t="str">
        <f>HYPERLINK("http://www.otzar.org/book.asp?27409","ברוך אומר ועושה")</f>
        <v>ברוך אומר ועושה</v>
      </c>
    </row>
    <row r="277" spans="1:5" x14ac:dyDescent="0.2">
      <c r="A277" t="s">
        <v>563</v>
      </c>
      <c r="B277" t="s">
        <v>564</v>
      </c>
      <c r="C277" t="s">
        <v>60</v>
      </c>
      <c r="D277" t="s">
        <v>19</v>
      </c>
      <c r="E277" s="3" t="str">
        <f>HYPERLINK("http://www.otzar.org/book.asp?141476","בריש הורמנותא דמלכא")</f>
        <v>בריש הורמנותא דמלכא</v>
      </c>
    </row>
    <row r="278" spans="1:5" x14ac:dyDescent="0.2">
      <c r="A278" t="s">
        <v>565</v>
      </c>
      <c r="B278" t="s">
        <v>566</v>
      </c>
      <c r="C278" t="s">
        <v>39</v>
      </c>
      <c r="D278" t="s">
        <v>12</v>
      </c>
      <c r="E278" s="3" t="str">
        <f>HYPERLINK("http://www.otzar.org/book.asp?53172","ברית נתן")</f>
        <v>ברית נתן</v>
      </c>
    </row>
    <row r="279" spans="1:5" x14ac:dyDescent="0.2">
      <c r="A279" t="s">
        <v>567</v>
      </c>
      <c r="B279" t="s">
        <v>568</v>
      </c>
      <c r="C279" t="s">
        <v>39</v>
      </c>
      <c r="D279" t="s">
        <v>12</v>
      </c>
      <c r="E279" s="3" t="str">
        <f>HYPERLINK("http://www.otzar.org/book.asp?141383","ברכות הנהנין המבואר")</f>
        <v>ברכות הנהנין המבואר</v>
      </c>
    </row>
    <row r="280" spans="1:5" x14ac:dyDescent="0.2">
      <c r="A280" t="s">
        <v>569</v>
      </c>
      <c r="B280" t="s">
        <v>570</v>
      </c>
      <c r="C280" t="s">
        <v>18</v>
      </c>
      <c r="D280" t="s">
        <v>571</v>
      </c>
      <c r="E280" s="3" t="str">
        <f>HYPERLINK("http://www.otzar.org/book.asp?146388","ברכות השחר על פי נוסח האריז""ל")</f>
        <v>ברכות השחר על פי נוסח האריז"ל</v>
      </c>
    </row>
    <row r="281" spans="1:5" x14ac:dyDescent="0.2">
      <c r="A281" t="s">
        <v>572</v>
      </c>
      <c r="B281" t="s">
        <v>30</v>
      </c>
      <c r="C281" t="s">
        <v>31</v>
      </c>
      <c r="D281" t="s">
        <v>8</v>
      </c>
      <c r="E281" s="3" t="str">
        <f>HYPERLINK("http://www.otzar.org/book.asp?145657","ברכות")</f>
        <v>ברכות</v>
      </c>
    </row>
    <row r="282" spans="1:5" x14ac:dyDescent="0.2">
      <c r="A282" t="s">
        <v>573</v>
      </c>
      <c r="B282" t="s">
        <v>574</v>
      </c>
      <c r="C282" t="s">
        <v>191</v>
      </c>
      <c r="D282" t="s">
        <v>8</v>
      </c>
      <c r="E282" s="3" t="str">
        <f>HYPERLINK("http://www.otzar.org/book.asp?150680","ברכת החמה ע""פ מנהג חב""ד (מהדורה חדשה)")</f>
        <v>ברכת החמה ע"פ מנהג חב"ד (מהדורה חדשה)</v>
      </c>
    </row>
    <row r="283" spans="1:5" x14ac:dyDescent="0.2">
      <c r="A283" t="s">
        <v>575</v>
      </c>
      <c r="B283" t="s">
        <v>576</v>
      </c>
      <c r="C283" t="s">
        <v>58</v>
      </c>
      <c r="D283" t="s">
        <v>8</v>
      </c>
      <c r="E283" s="3" t="str">
        <f>HYPERLINK("http://www.otzar.org/book.asp?146378","ברכת החמה ע""פ מנהג חב""ד")</f>
        <v>ברכת החמה ע"פ מנהג חב"ד</v>
      </c>
    </row>
    <row r="284" spans="1:5" x14ac:dyDescent="0.2">
      <c r="A284" t="s">
        <v>577</v>
      </c>
      <c r="B284" t="s">
        <v>578</v>
      </c>
      <c r="C284" t="s">
        <v>11</v>
      </c>
      <c r="D284" t="s">
        <v>579</v>
      </c>
      <c r="E284" s="3" t="str">
        <f>HYPERLINK("http://www.otzar.org/book.asp?162739","ברכת המזון ע""פ ר' נתן שפירא אב""ד הוראדנא")</f>
        <v>ברכת המזון ע"פ ר' נתן שפירא אב"ד הוראדנא</v>
      </c>
    </row>
    <row r="285" spans="1:5" x14ac:dyDescent="0.2">
      <c r="A285" t="s">
        <v>580</v>
      </c>
      <c r="B285" t="s">
        <v>580</v>
      </c>
      <c r="C285" t="s">
        <v>148</v>
      </c>
      <c r="D285" t="s">
        <v>8</v>
      </c>
      <c r="E285" s="3" t="str">
        <f>HYPERLINK("http://www.otzar.org/book.asp?28011","ברכת המזון עם תרגום אנגלי")</f>
        <v>ברכת המזון עם תרגום אנגלי</v>
      </c>
    </row>
    <row r="286" spans="1:5" x14ac:dyDescent="0.2">
      <c r="A286" t="s">
        <v>581</v>
      </c>
      <c r="B286" t="s">
        <v>582</v>
      </c>
      <c r="C286" t="s">
        <v>583</v>
      </c>
      <c r="D286" t="s">
        <v>71</v>
      </c>
      <c r="E286" s="3" t="str">
        <f>HYPERLINK("http://www.otzar.org/book.asp?145485","ברשת החנוך - 1-6")</f>
        <v>ברשת החנוך - 1-6</v>
      </c>
    </row>
    <row r="287" spans="1:5" x14ac:dyDescent="0.2">
      <c r="A287" t="s">
        <v>584</v>
      </c>
      <c r="B287" t="s">
        <v>30</v>
      </c>
      <c r="C287" t="s">
        <v>477</v>
      </c>
      <c r="D287" t="s">
        <v>8</v>
      </c>
      <c r="E287" s="3" t="str">
        <f>HYPERLINK("http://www.otzar.org/book.asp?28492","בשורת הגאולה")</f>
        <v>בשורת הגאולה</v>
      </c>
    </row>
    <row r="288" spans="1:5" x14ac:dyDescent="0.2">
      <c r="A288" t="s">
        <v>585</v>
      </c>
      <c r="B288" t="s">
        <v>422</v>
      </c>
      <c r="C288" t="s">
        <v>15</v>
      </c>
      <c r="D288" t="s">
        <v>8</v>
      </c>
      <c r="E288" s="3" t="str">
        <f>HYPERLINK("http://www.otzar.org/book.asp?607993","בשמן קדשי משחתיו - ב")</f>
        <v>בשמן קדשי משחתיו - ב</v>
      </c>
    </row>
    <row r="289" spans="1:5" x14ac:dyDescent="0.2">
      <c r="A289" t="s">
        <v>586</v>
      </c>
      <c r="B289" t="s">
        <v>64</v>
      </c>
      <c r="C289" t="s">
        <v>54</v>
      </c>
      <c r="D289" t="s">
        <v>8</v>
      </c>
      <c r="E289" s="3" t="str">
        <f>HYPERLINK("http://www.otzar.org/book.asp?173572","בשעה שהקדימו תער""ב")</f>
        <v>בשעה שהקדימו תער"ב</v>
      </c>
    </row>
    <row r="290" spans="1:5" x14ac:dyDescent="0.2">
      <c r="A290" t="s">
        <v>587</v>
      </c>
      <c r="B290" t="s">
        <v>64</v>
      </c>
      <c r="C290" t="s">
        <v>183</v>
      </c>
      <c r="D290" t="s">
        <v>8</v>
      </c>
      <c r="E290" s="3" t="str">
        <f>HYPERLINK("http://www.otzar.org/book.asp?26909","בשעה שהקדימו - 4 כר'")</f>
        <v>בשעה שהקדימו - 4 כר'</v>
      </c>
    </row>
    <row r="291" spans="1:5" x14ac:dyDescent="0.2">
      <c r="A291" t="s">
        <v>588</v>
      </c>
      <c r="B291" t="s">
        <v>30</v>
      </c>
      <c r="C291" t="s">
        <v>276</v>
      </c>
      <c r="D291" t="s">
        <v>19</v>
      </c>
      <c r="E291" s="3" t="str">
        <f>HYPERLINK("http://www.otzar.org/book.asp?142707","בת י""ב למצוות")</f>
        <v>בת י"ב למצוות</v>
      </c>
    </row>
    <row r="292" spans="1:5" x14ac:dyDescent="0.2">
      <c r="A292" t="s">
        <v>589</v>
      </c>
      <c r="B292" t="s">
        <v>590</v>
      </c>
      <c r="C292" t="s">
        <v>213</v>
      </c>
      <c r="D292" t="s">
        <v>19</v>
      </c>
      <c r="E292" s="3" t="str">
        <f>HYPERLINK("http://www.otzar.org/book.asp?614804","בת מלך - בעקבות הרבניות")</f>
        <v>בת מלך - בעקבות הרבניות</v>
      </c>
    </row>
    <row r="293" spans="1:5" x14ac:dyDescent="0.2">
      <c r="A293" t="s">
        <v>591</v>
      </c>
      <c r="B293" t="s">
        <v>592</v>
      </c>
      <c r="C293" t="s">
        <v>39</v>
      </c>
      <c r="D293" t="s">
        <v>12</v>
      </c>
      <c r="E293" s="3" t="str">
        <f>HYPERLINK("http://www.otzar.org/book.asp?142339","בתבונה בונה ביתה - 4 כר'")</f>
        <v>בתבונה בונה ביתה - 4 כר'</v>
      </c>
    </row>
    <row r="294" spans="1:5" x14ac:dyDescent="0.2">
      <c r="A294" t="s">
        <v>593</v>
      </c>
      <c r="B294" t="s">
        <v>594</v>
      </c>
      <c r="C294" t="s">
        <v>73</v>
      </c>
      <c r="D294" t="s">
        <v>8</v>
      </c>
      <c r="E294" s="3" t="str">
        <f>HYPERLINK("http://www.otzar.org/book.asp?180962","בתוך הגולה - קהילת רוסטוב")</f>
        <v>בתוך הגולה - קהילת רוסטוב</v>
      </c>
    </row>
    <row r="295" spans="1:5" x14ac:dyDescent="0.2">
      <c r="A295" t="s">
        <v>595</v>
      </c>
      <c r="B295" t="s">
        <v>105</v>
      </c>
      <c r="C295" t="s">
        <v>76</v>
      </c>
      <c r="E295" s="3" t="str">
        <f>HYPERLINK("http://www.otzar.org/book.asp?607828","גאולה בפרשה")</f>
        <v>גאולה בפרשה</v>
      </c>
    </row>
    <row r="296" spans="1:5" x14ac:dyDescent="0.2">
      <c r="A296" t="s">
        <v>596</v>
      </c>
      <c r="B296" t="s">
        <v>597</v>
      </c>
      <c r="C296" t="s">
        <v>76</v>
      </c>
      <c r="D296" t="s">
        <v>19</v>
      </c>
      <c r="E296" s="3" t="str">
        <f>HYPERLINK("http://www.otzar.org/book.asp?145953","גאולה ומשיח באור ההלכה")</f>
        <v>גאולה ומשיח באור ההלכה</v>
      </c>
    </row>
    <row r="297" spans="1:5" x14ac:dyDescent="0.2">
      <c r="A297" t="s">
        <v>598</v>
      </c>
      <c r="B297" t="s">
        <v>599</v>
      </c>
      <c r="C297" t="s">
        <v>39</v>
      </c>
      <c r="D297" t="s">
        <v>600</v>
      </c>
      <c r="E297" s="3" t="str">
        <f>HYPERLINK("http://www.otzar.org/book.asp?141664","גאון וחסיד")</f>
        <v>גאון וחסיד</v>
      </c>
    </row>
    <row r="298" spans="1:5" x14ac:dyDescent="0.2">
      <c r="A298" t="s">
        <v>601</v>
      </c>
      <c r="B298" t="s">
        <v>602</v>
      </c>
      <c r="C298" t="s">
        <v>327</v>
      </c>
      <c r="D298" t="s">
        <v>603</v>
      </c>
      <c r="E298" s="3" t="str">
        <f>HYPERLINK("http://www.otzar.org/book.asp?26947","גבורה יהודית במלכות הרשע")</f>
        <v>גבורה יהודית במלכות הרשע</v>
      </c>
    </row>
    <row r="299" spans="1:5" x14ac:dyDescent="0.2">
      <c r="A299" t="s">
        <v>604</v>
      </c>
      <c r="B299" t="s">
        <v>604</v>
      </c>
      <c r="C299" t="s">
        <v>67</v>
      </c>
      <c r="D299" t="s">
        <v>19</v>
      </c>
      <c r="E299" s="3" t="str">
        <f>HYPERLINK("http://www.otzar.org/book.asp?27473","גבורות מנחם")</f>
        <v>גבורות מנחם</v>
      </c>
    </row>
    <row r="300" spans="1:5" x14ac:dyDescent="0.2">
      <c r="A300" t="s">
        <v>605</v>
      </c>
      <c r="B300" t="s">
        <v>606</v>
      </c>
      <c r="C300" t="s">
        <v>126</v>
      </c>
      <c r="D300" t="s">
        <v>332</v>
      </c>
      <c r="E300" s="3" t="str">
        <f>HYPERLINK("http://www.otzar.org/book.asp?141413","גדולי תורה על החזרת שטחים")</f>
        <v>גדולי תורה על החזרת שטחים</v>
      </c>
    </row>
    <row r="301" spans="1:5" x14ac:dyDescent="0.2">
      <c r="A301" t="s">
        <v>607</v>
      </c>
      <c r="B301" t="s">
        <v>30</v>
      </c>
      <c r="C301" t="s">
        <v>152</v>
      </c>
      <c r="D301" t="s">
        <v>8</v>
      </c>
      <c r="E301" s="3" t="str">
        <f>HYPERLINK("http://www.otzar.org/book.asp?27574","גדרן של מצות")</f>
        <v>גדרן של מצות</v>
      </c>
    </row>
    <row r="302" spans="1:5" x14ac:dyDescent="0.2">
      <c r="A302" t="s">
        <v>608</v>
      </c>
      <c r="B302" t="s">
        <v>609</v>
      </c>
      <c r="C302" t="s">
        <v>70</v>
      </c>
      <c r="D302" t="s">
        <v>12</v>
      </c>
      <c r="E302" s="3" t="str">
        <f>HYPERLINK("http://www.otzar.org/book.asp?143262","גט למעשה")</f>
        <v>גט למעשה</v>
      </c>
    </row>
    <row r="303" spans="1:5" x14ac:dyDescent="0.2">
      <c r="A303" t="s">
        <v>610</v>
      </c>
      <c r="B303" t="s">
        <v>33</v>
      </c>
      <c r="C303" t="s">
        <v>54</v>
      </c>
      <c r="D303" t="s">
        <v>19</v>
      </c>
      <c r="E303" s="3" t="str">
        <f>HYPERLINK("http://www.otzar.org/book.asp?169905","גידול זקן")</f>
        <v>גידול זקן</v>
      </c>
    </row>
    <row r="304" spans="1:5" x14ac:dyDescent="0.2">
      <c r="A304" t="s">
        <v>611</v>
      </c>
      <c r="B304" t="s">
        <v>108</v>
      </c>
      <c r="C304" t="s">
        <v>155</v>
      </c>
      <c r="D304" t="s">
        <v>40</v>
      </c>
      <c r="E304" s="3" t="str">
        <f>HYPERLINK("http://www.otzar.org/book.asp?141367","גינת ביתן המלך")</f>
        <v>גינת ביתן המלך</v>
      </c>
    </row>
    <row r="305" spans="1:5" x14ac:dyDescent="0.2">
      <c r="A305" t="s">
        <v>612</v>
      </c>
      <c r="B305" t="s">
        <v>108</v>
      </c>
      <c r="C305" t="s">
        <v>47</v>
      </c>
      <c r="D305" t="s">
        <v>40</v>
      </c>
      <c r="E305" s="3" t="str">
        <f>HYPERLINK("http://www.otzar.org/book.asp?27278","גינת המלך")</f>
        <v>גינת המלך</v>
      </c>
    </row>
    <row r="306" spans="1:5" x14ac:dyDescent="0.2">
      <c r="A306" t="s">
        <v>613</v>
      </c>
      <c r="B306" t="s">
        <v>614</v>
      </c>
      <c r="C306" t="s">
        <v>7</v>
      </c>
      <c r="D306" t="s">
        <v>615</v>
      </c>
      <c r="E306" s="3" t="str">
        <f>HYPERLINK("http://www.otzar.org/book.asp?630554","גל עיני")</f>
        <v>גל עיני</v>
      </c>
    </row>
    <row r="307" spans="1:5" x14ac:dyDescent="0.2">
      <c r="A307" t="s">
        <v>616</v>
      </c>
      <c r="B307" t="s">
        <v>617</v>
      </c>
      <c r="C307" t="s">
        <v>618</v>
      </c>
      <c r="D307" t="s">
        <v>26</v>
      </c>
      <c r="E307" s="3" t="str">
        <f>HYPERLINK("http://www.otzar.org/book.asp?15982","גנזי נסתרות")</f>
        <v>גנזי נסתרות</v>
      </c>
    </row>
    <row r="308" spans="1:5" x14ac:dyDescent="0.2">
      <c r="A308" t="s">
        <v>619</v>
      </c>
      <c r="B308" t="s">
        <v>108</v>
      </c>
      <c r="C308" t="s">
        <v>191</v>
      </c>
      <c r="D308" t="s">
        <v>12</v>
      </c>
      <c r="E308" s="3" t="str">
        <f>HYPERLINK("http://www.otzar.org/book.asp?85019","דבר בקדשו")</f>
        <v>דבר בקדשו</v>
      </c>
    </row>
    <row r="309" spans="1:5" x14ac:dyDescent="0.2">
      <c r="A309" t="s">
        <v>620</v>
      </c>
      <c r="B309" t="s">
        <v>30</v>
      </c>
      <c r="C309" t="s">
        <v>276</v>
      </c>
      <c r="D309" t="s">
        <v>12</v>
      </c>
      <c r="E309" s="3" t="str">
        <f>HYPERLINK("http://www.otzar.org/book.asp?141441","דבר מלך - 2 כר'")</f>
        <v>דבר מלך - 2 כר'</v>
      </c>
    </row>
    <row r="310" spans="1:5" x14ac:dyDescent="0.2">
      <c r="A310" t="s">
        <v>621</v>
      </c>
      <c r="B310" t="s">
        <v>622</v>
      </c>
      <c r="C310" t="s">
        <v>76</v>
      </c>
      <c r="D310" t="s">
        <v>19</v>
      </c>
      <c r="E310" s="3" t="str">
        <f>HYPERLINK("http://www.otzar.org/book.asp?194303","דבר מלכות מבואר - א")</f>
        <v>דבר מלכות מבואר - א</v>
      </c>
    </row>
    <row r="311" spans="1:5" x14ac:dyDescent="0.2">
      <c r="A311" t="s">
        <v>623</v>
      </c>
      <c r="B311" t="s">
        <v>30</v>
      </c>
      <c r="C311" t="s">
        <v>86</v>
      </c>
      <c r="D311" t="s">
        <v>8</v>
      </c>
      <c r="E311" s="3" t="str">
        <f>HYPERLINK("http://www.otzar.org/book.asp?143254","דבר מלכות - 5 כר'")</f>
        <v>דבר מלכות - 5 כר'</v>
      </c>
    </row>
    <row r="312" spans="1:5" x14ac:dyDescent="0.2">
      <c r="A312" t="s">
        <v>624</v>
      </c>
      <c r="B312" t="s">
        <v>625</v>
      </c>
      <c r="C312" t="s">
        <v>276</v>
      </c>
      <c r="D312" t="s">
        <v>8</v>
      </c>
      <c r="E312" s="3" t="str">
        <f>HYPERLINK("http://www.otzar.org/book.asp?27572","דברי העדות שכתב אדמו""ר הזקן")</f>
        <v>דברי העדות שכתב אדמו"ר הזקן</v>
      </c>
    </row>
    <row r="313" spans="1:5" x14ac:dyDescent="0.2">
      <c r="A313" t="s">
        <v>626</v>
      </c>
      <c r="B313" t="s">
        <v>627</v>
      </c>
      <c r="C313" t="s">
        <v>148</v>
      </c>
      <c r="D313" t="s">
        <v>8</v>
      </c>
      <c r="E313" s="3" t="str">
        <f>HYPERLINK("http://www.otzar.org/book.asp?27200","דברי ימי החוזרים")</f>
        <v>דברי ימי החוזרים</v>
      </c>
    </row>
    <row r="314" spans="1:5" x14ac:dyDescent="0.2">
      <c r="A314" t="s">
        <v>628</v>
      </c>
      <c r="B314" t="s">
        <v>38</v>
      </c>
      <c r="C314" t="s">
        <v>52</v>
      </c>
      <c r="D314" t="s">
        <v>8</v>
      </c>
      <c r="E314" s="3" t="str">
        <f>HYPERLINK("http://www.otzar.org/book.asp?29308","דברי ימי הרבנית רבקה")</f>
        <v>דברי ימי הרבנית רבקה</v>
      </c>
    </row>
    <row r="315" spans="1:5" x14ac:dyDescent="0.2">
      <c r="A315" t="s">
        <v>629</v>
      </c>
      <c r="B315" t="s">
        <v>108</v>
      </c>
      <c r="C315" t="s">
        <v>477</v>
      </c>
      <c r="D315" t="s">
        <v>332</v>
      </c>
      <c r="E315" s="3" t="str">
        <f>HYPERLINK("http://www.otzar.org/book.asp?145940","דברי שלום ואמת")</f>
        <v>דברי שלום ואמת</v>
      </c>
    </row>
    <row r="316" spans="1:5" x14ac:dyDescent="0.2">
      <c r="A316" t="s">
        <v>630</v>
      </c>
      <c r="B316" t="s">
        <v>630</v>
      </c>
      <c r="C316" t="s">
        <v>155</v>
      </c>
      <c r="D316" t="s">
        <v>19</v>
      </c>
      <c r="E316" s="3" t="str">
        <f>HYPERLINK("http://www.otzar.org/book.asp?140928","דברי שלום וברכה")</f>
        <v>דברי שלום וברכה</v>
      </c>
    </row>
    <row r="317" spans="1:5" x14ac:dyDescent="0.2">
      <c r="A317" t="s">
        <v>631</v>
      </c>
      <c r="B317" t="s">
        <v>454</v>
      </c>
      <c r="C317" t="s">
        <v>67</v>
      </c>
      <c r="D317" t="s">
        <v>332</v>
      </c>
      <c r="E317" s="3" t="str">
        <f>HYPERLINK("http://www.otzar.org/book.asp?141353","דברי שלום - סדרא תניינא א")</f>
        <v>דברי שלום - סדרא תניינא א</v>
      </c>
    </row>
    <row r="318" spans="1:5" x14ac:dyDescent="0.2">
      <c r="A318" t="s">
        <v>632</v>
      </c>
      <c r="B318" t="s">
        <v>230</v>
      </c>
      <c r="C318" t="s">
        <v>152</v>
      </c>
      <c r="D318" t="s">
        <v>40</v>
      </c>
      <c r="E318" s="3" t="str">
        <f>HYPERLINK("http://www.otzar.org/book.asp?141442","דברי שלום")</f>
        <v>דברי שלום</v>
      </c>
    </row>
    <row r="319" spans="1:5" x14ac:dyDescent="0.2">
      <c r="A319" t="s">
        <v>633</v>
      </c>
      <c r="B319" t="s">
        <v>108</v>
      </c>
      <c r="C319" t="s">
        <v>11</v>
      </c>
      <c r="D319" t="s">
        <v>12</v>
      </c>
      <c r="E319" s="3" t="str">
        <f>HYPERLINK("http://www.otzar.org/book.asp?169823","דברתי מלכי")</f>
        <v>דברתי מלכי</v>
      </c>
    </row>
    <row r="320" spans="1:5" x14ac:dyDescent="0.2">
      <c r="A320" t="s">
        <v>634</v>
      </c>
      <c r="B320" t="s">
        <v>634</v>
      </c>
      <c r="C320" t="s">
        <v>477</v>
      </c>
      <c r="D320" t="s">
        <v>8</v>
      </c>
      <c r="E320" s="3" t="str">
        <f>HYPERLINK("http://www.otzar.org/book.asp?141580","דו""ח דהכנס דתלמידים השלוחים")</f>
        <v>דו"ח דהכנס דתלמידים השלוחים</v>
      </c>
    </row>
    <row r="321" spans="1:5" x14ac:dyDescent="0.2">
      <c r="A321" t="s">
        <v>635</v>
      </c>
      <c r="B321" t="s">
        <v>97</v>
      </c>
      <c r="C321" t="s">
        <v>191</v>
      </c>
      <c r="D321" t="s">
        <v>12</v>
      </c>
      <c r="E321" s="3" t="str">
        <f>HYPERLINK("http://www.otzar.org/book.asp?147685","דובר שלום - חיים של קידוש שם ליובאוויטש")</f>
        <v>דובר שלום - חיים של קידוש שם ליובאוויטש</v>
      </c>
    </row>
    <row r="322" spans="1:5" x14ac:dyDescent="0.2">
      <c r="A322" t="s">
        <v>636</v>
      </c>
      <c r="B322" t="s">
        <v>17</v>
      </c>
      <c r="C322" t="s">
        <v>67</v>
      </c>
      <c r="D322" t="s">
        <v>12</v>
      </c>
      <c r="E322" s="3" t="str">
        <f>HYPERLINK("http://www.otzar.org/book.asp?27562","דובר שלום - הערות וביאורים בשו""ע אדמו""ר הזקן")</f>
        <v>דובר שלום - הערות וביאורים בשו"ע אדמו"ר הזקן</v>
      </c>
    </row>
    <row r="323" spans="1:5" x14ac:dyDescent="0.2">
      <c r="A323" t="s">
        <v>637</v>
      </c>
      <c r="B323" t="s">
        <v>336</v>
      </c>
      <c r="C323" t="s">
        <v>327</v>
      </c>
      <c r="D323" t="s">
        <v>240</v>
      </c>
      <c r="E323" s="3" t="str">
        <f>HYPERLINK("http://www.otzar.org/book.asp?27772","דוד עבדי")</f>
        <v>דוד עבדי</v>
      </c>
    </row>
    <row r="324" spans="1:5" x14ac:dyDescent="0.2">
      <c r="A324" t="s">
        <v>638</v>
      </c>
      <c r="B324" t="s">
        <v>21</v>
      </c>
      <c r="C324" t="s">
        <v>76</v>
      </c>
      <c r="D324" t="s">
        <v>19</v>
      </c>
      <c r="E324" s="3" t="str">
        <f>HYPERLINK("http://www.otzar.org/book.asp?145926","דודי ירד לגנו")</f>
        <v>דודי ירד לגנו</v>
      </c>
    </row>
    <row r="325" spans="1:5" x14ac:dyDescent="0.2">
      <c r="A325" t="s">
        <v>639</v>
      </c>
      <c r="B325" t="s">
        <v>640</v>
      </c>
      <c r="C325" t="s">
        <v>15</v>
      </c>
      <c r="D325" t="s">
        <v>80</v>
      </c>
      <c r="E325" s="3" t="str">
        <f>HYPERLINK("http://www.otzar.org/book.asp?195650","דור דעה - ת""ק תר""כ")</f>
        <v>דור דעה - ת"ק תר"כ</v>
      </c>
    </row>
    <row r="326" spans="1:5" x14ac:dyDescent="0.2">
      <c r="A326" t="s">
        <v>641</v>
      </c>
      <c r="B326" t="s">
        <v>642</v>
      </c>
      <c r="C326" t="s">
        <v>76</v>
      </c>
      <c r="D326" t="s">
        <v>19</v>
      </c>
      <c r="E326" s="3" t="str">
        <f>HYPERLINK("http://www.otzar.org/book.asp?145956","דור המבול")</f>
        <v>דור המבול</v>
      </c>
    </row>
    <row r="327" spans="1:5" x14ac:dyDescent="0.2">
      <c r="A327" t="s">
        <v>643</v>
      </c>
      <c r="B327" t="s">
        <v>642</v>
      </c>
      <c r="C327" t="s">
        <v>76</v>
      </c>
      <c r="D327" t="s">
        <v>19</v>
      </c>
      <c r="E327" s="3" t="str">
        <f>HYPERLINK("http://www.otzar.org/book.asp?146339","דור הפלגה ודורו של משיח")</f>
        <v>דור הפלגה ודורו של משיח</v>
      </c>
    </row>
    <row r="328" spans="1:5" x14ac:dyDescent="0.2">
      <c r="A328" t="s">
        <v>644</v>
      </c>
      <c r="B328" t="s">
        <v>645</v>
      </c>
      <c r="C328" t="s">
        <v>54</v>
      </c>
      <c r="D328" t="s">
        <v>19</v>
      </c>
      <c r="E328" s="3" t="str">
        <f>HYPERLINK("http://www.otzar.org/book.asp?169912","דורות של חסידים")</f>
        <v>דורות של חסידים</v>
      </c>
    </row>
    <row r="329" spans="1:5" x14ac:dyDescent="0.2">
      <c r="A329" t="s">
        <v>646</v>
      </c>
      <c r="B329" t="s">
        <v>647</v>
      </c>
      <c r="C329" t="s">
        <v>18</v>
      </c>
      <c r="D329" t="s">
        <v>240</v>
      </c>
      <c r="E329" s="3" t="str">
        <f>HYPERLINK("http://www.otzar.org/book.asp?27298","דורש טוב לכל עמו - 2 כר'")</f>
        <v>דורש טוב לכל עמו - 2 כר'</v>
      </c>
    </row>
    <row r="330" spans="1:5" x14ac:dyDescent="0.2">
      <c r="A330" t="s">
        <v>648</v>
      </c>
      <c r="B330" t="s">
        <v>649</v>
      </c>
      <c r="C330" t="s">
        <v>650</v>
      </c>
      <c r="D330" t="s">
        <v>8</v>
      </c>
      <c r="E330" s="3" t="str">
        <f>HYPERLINK("http://www.otzar.org/book.asp?85373","די אידישע היים - 5 כר'")</f>
        <v>די אידישע היים - 5 כר'</v>
      </c>
    </row>
    <row r="331" spans="1:5" x14ac:dyDescent="0.2">
      <c r="A331" t="s">
        <v>651</v>
      </c>
      <c r="B331" t="s">
        <v>652</v>
      </c>
      <c r="C331" t="s">
        <v>653</v>
      </c>
      <c r="D331" t="s">
        <v>654</v>
      </c>
      <c r="E331" s="3" t="str">
        <f>HYPERLINK("http://www.otzar.org/book.asp?146310","די אידישע פרוי - 1")</f>
        <v>די אידישע פרוי - 1</v>
      </c>
    </row>
    <row r="332" spans="1:5" x14ac:dyDescent="0.2">
      <c r="A332" t="s">
        <v>655</v>
      </c>
      <c r="B332" t="s">
        <v>105</v>
      </c>
      <c r="C332" t="s">
        <v>656</v>
      </c>
      <c r="D332" t="s">
        <v>657</v>
      </c>
      <c r="E332" s="3" t="str">
        <f>HYPERLINK("http://www.otzar.org/book.asp?146521","די יסורים פון ליבאוויטשן רבין")</f>
        <v>די יסורים פון ליבאוויטשן רבין</v>
      </c>
    </row>
    <row r="333" spans="1:5" x14ac:dyDescent="0.2">
      <c r="A333" t="s">
        <v>658</v>
      </c>
      <c r="B333" t="s">
        <v>38</v>
      </c>
      <c r="C333" t="s">
        <v>543</v>
      </c>
      <c r="E333" s="3" t="str">
        <f>HYPERLINK("http://www.otzar.org/book.asp?146303","די מאראלישע און דערציערישע באדייטונג פון חסידות חב""ד")</f>
        <v>די מאראלישע און דערציערישע באדייטונג פון חסידות חב"ד</v>
      </c>
    </row>
    <row r="334" spans="1:5" x14ac:dyDescent="0.2">
      <c r="A334" t="s">
        <v>659</v>
      </c>
      <c r="B334" t="s">
        <v>660</v>
      </c>
      <c r="C334" t="s">
        <v>482</v>
      </c>
      <c r="D334" t="s">
        <v>40</v>
      </c>
      <c r="E334" s="3" t="str">
        <f>HYPERLINK("http://www.otzar.org/book.asp?61438","די תורה ליכט - 5")</f>
        <v>די תורה ליכט - 5</v>
      </c>
    </row>
    <row r="335" spans="1:5" x14ac:dyDescent="0.2">
      <c r="A335" t="s">
        <v>661</v>
      </c>
      <c r="B335" t="s">
        <v>662</v>
      </c>
      <c r="C335" t="s">
        <v>350</v>
      </c>
      <c r="D335" t="s">
        <v>208</v>
      </c>
      <c r="E335" s="3" t="str">
        <f>HYPERLINK("http://www.otzar.org/book.asp?608411","דידן נצח - שלשים שנה")</f>
        <v>דידן נצח - שלשים שנה</v>
      </c>
    </row>
    <row r="336" spans="1:5" x14ac:dyDescent="0.2">
      <c r="A336" t="s">
        <v>663</v>
      </c>
      <c r="B336" t="s">
        <v>664</v>
      </c>
      <c r="C336" t="s">
        <v>15</v>
      </c>
      <c r="D336" t="s">
        <v>8</v>
      </c>
      <c r="E336" s="3" t="str">
        <f>HYPERLINK("http://www.otzar.org/book.asp?189054","דידן נצח - תשע""ה")</f>
        <v>דידן נצח - תשע"ה</v>
      </c>
    </row>
    <row r="337" spans="1:5" x14ac:dyDescent="0.2">
      <c r="A337" t="s">
        <v>665</v>
      </c>
      <c r="B337" t="s">
        <v>666</v>
      </c>
      <c r="C337" t="s">
        <v>76</v>
      </c>
      <c r="D337" t="s">
        <v>19</v>
      </c>
      <c r="E337" s="3" t="str">
        <f>HYPERLINK("http://www.otzar.org/book.asp?27595","דידן נצח - 4 כר'")</f>
        <v>דידן נצח - 4 כר'</v>
      </c>
    </row>
    <row r="338" spans="1:5" x14ac:dyDescent="0.2">
      <c r="A338" t="s">
        <v>667</v>
      </c>
      <c r="B338" t="s">
        <v>668</v>
      </c>
      <c r="C338" t="s">
        <v>47</v>
      </c>
      <c r="D338" t="s">
        <v>19</v>
      </c>
      <c r="E338" s="3" t="str">
        <f>HYPERLINK("http://www.otzar.org/book.asp?141443","דידן נצח - פסק הדין במשפט הספרים")</f>
        <v>דידן נצח - פסק הדין במשפט הספרים</v>
      </c>
    </row>
    <row r="339" spans="1:5" x14ac:dyDescent="0.2">
      <c r="A339" t="s">
        <v>669</v>
      </c>
      <c r="B339" t="s">
        <v>670</v>
      </c>
      <c r="C339" t="s">
        <v>86</v>
      </c>
      <c r="D339" t="s">
        <v>8</v>
      </c>
      <c r="E339" s="3" t="str">
        <f>HYPERLINK("http://www.otzar.org/book.asp?143298","דיוקנו של חסיד")</f>
        <v>דיוקנו של חסיד</v>
      </c>
    </row>
    <row r="340" spans="1:5" x14ac:dyDescent="0.2">
      <c r="A340" t="s">
        <v>671</v>
      </c>
      <c r="B340" t="s">
        <v>672</v>
      </c>
      <c r="C340" t="s">
        <v>673</v>
      </c>
      <c r="D340" t="s">
        <v>19</v>
      </c>
      <c r="E340" s="3" t="str">
        <f>HYPERLINK("http://www.otzar.org/book.asp?146318","דין וחשבון על הכינוס השנתי תשי""ט של צאגו""ח")</f>
        <v>דין וחשבון על הכינוס השנתי תשי"ט של צאגו"ח</v>
      </c>
    </row>
    <row r="341" spans="1:5" x14ac:dyDescent="0.2">
      <c r="A341" t="s">
        <v>674</v>
      </c>
      <c r="B341" t="s">
        <v>675</v>
      </c>
      <c r="C341" t="s">
        <v>122</v>
      </c>
      <c r="D341" t="s">
        <v>12</v>
      </c>
      <c r="E341" s="3" t="str">
        <f>HYPERLINK("http://www.otzar.org/book.asp?27662","דיני הפסק בתפלה")</f>
        <v>דיני הפסק בתפלה</v>
      </c>
    </row>
    <row r="342" spans="1:5" x14ac:dyDescent="0.2">
      <c r="A342" t="s">
        <v>676</v>
      </c>
      <c r="B342" t="s">
        <v>677</v>
      </c>
      <c r="C342" t="s">
        <v>148</v>
      </c>
      <c r="D342" t="s">
        <v>12</v>
      </c>
      <c r="E342" s="3" t="str">
        <f>HYPERLINK("http://www.otzar.org/book.asp?29253","דיעדושקא - הרבי מליובאוויטש ויהדות רוסיה")</f>
        <v>דיעדושקא - הרבי מליובאוויטש ויהדות רוסיה</v>
      </c>
    </row>
    <row r="343" spans="1:5" x14ac:dyDescent="0.2">
      <c r="A343" t="s">
        <v>678</v>
      </c>
      <c r="B343" t="s">
        <v>6</v>
      </c>
      <c r="C343" t="s">
        <v>7</v>
      </c>
      <c r="D343" t="s">
        <v>8</v>
      </c>
      <c r="E343" s="3" t="str">
        <f>HYPERLINK("http://www.otzar.org/book.asp?627059","דליים של שמחה - שמחת תורה")</f>
        <v>דליים של שמחה - שמחת תורה</v>
      </c>
    </row>
    <row r="344" spans="1:5" x14ac:dyDescent="0.2">
      <c r="A344" t="s">
        <v>679</v>
      </c>
      <c r="B344" t="s">
        <v>680</v>
      </c>
      <c r="C344" t="s">
        <v>15</v>
      </c>
      <c r="D344" t="s">
        <v>12</v>
      </c>
      <c r="E344" s="3" t="str">
        <f>HYPERLINK("http://www.otzar.org/book.asp?189296","דמויות תנ""כיות - 2 כר'")</f>
        <v>דמויות תנ"כיות - 2 כר'</v>
      </c>
    </row>
    <row r="345" spans="1:5" x14ac:dyDescent="0.2">
      <c r="A345" t="s">
        <v>681</v>
      </c>
      <c r="B345" t="s">
        <v>682</v>
      </c>
      <c r="C345" t="s">
        <v>155</v>
      </c>
      <c r="D345" t="s">
        <v>40</v>
      </c>
      <c r="E345" s="3" t="str">
        <f>HYPERLINK("http://www.otzar.org/book.asp?141376","דמות חסידית")</f>
        <v>דמות חסידית</v>
      </c>
    </row>
    <row r="346" spans="1:5" x14ac:dyDescent="0.2">
      <c r="A346" t="s">
        <v>683</v>
      </c>
      <c r="B346" t="s">
        <v>6</v>
      </c>
      <c r="C346" t="s">
        <v>73</v>
      </c>
      <c r="D346" t="s">
        <v>8</v>
      </c>
      <c r="E346" s="3" t="str">
        <f>HYPERLINK("http://www.otzar.org/book.asp?614959","דעם רבי'נס טאג")</f>
        <v>דעם רבי'נס טאג</v>
      </c>
    </row>
    <row r="347" spans="1:5" x14ac:dyDescent="0.2">
      <c r="A347" t="s">
        <v>684</v>
      </c>
      <c r="B347" t="s">
        <v>6</v>
      </c>
      <c r="C347" t="s">
        <v>73</v>
      </c>
      <c r="D347" t="s">
        <v>8</v>
      </c>
      <c r="E347" s="3" t="str">
        <f>HYPERLINK("http://www.otzar.org/book.asp?607743","דעם רבינ'ס קאך")</f>
        <v>דעם רבינ'ס קאך</v>
      </c>
    </row>
    <row r="348" spans="1:5" x14ac:dyDescent="0.2">
      <c r="A348" t="s">
        <v>685</v>
      </c>
      <c r="B348" t="s">
        <v>6</v>
      </c>
      <c r="C348" t="s">
        <v>183</v>
      </c>
      <c r="D348" t="s">
        <v>8</v>
      </c>
      <c r="E348" s="3" t="str">
        <f>HYPERLINK("http://www.otzar.org/book.asp?142645","דעם רבינ'ס קינדער")</f>
        <v>דעם רבינ'ס קינדער</v>
      </c>
    </row>
    <row r="349" spans="1:5" x14ac:dyDescent="0.2">
      <c r="A349" t="s">
        <v>686</v>
      </c>
      <c r="B349" t="s">
        <v>687</v>
      </c>
      <c r="C349" t="s">
        <v>52</v>
      </c>
      <c r="D349" t="s">
        <v>8</v>
      </c>
      <c r="E349" s="3" t="str">
        <f>HYPERLINK("http://www.otzar.org/book.asp?614928","דער ליובאוויטשער רבי - 2 כר'")</f>
        <v>דער ליובאוויטשער רבי - 2 כר'</v>
      </c>
    </row>
    <row r="350" spans="1:5" x14ac:dyDescent="0.2">
      <c r="A350" t="s">
        <v>688</v>
      </c>
      <c r="B350" t="s">
        <v>689</v>
      </c>
      <c r="C350" t="s">
        <v>65</v>
      </c>
      <c r="D350" t="s">
        <v>8</v>
      </c>
      <c r="E350" s="3" t="str">
        <f>HYPERLINK("http://www.otzar.org/book.asp?28735","דער רב")</f>
        <v>דער רב</v>
      </c>
    </row>
    <row r="351" spans="1:5" x14ac:dyDescent="0.2">
      <c r="A351" t="s">
        <v>690</v>
      </c>
      <c r="B351" t="s">
        <v>30</v>
      </c>
      <c r="C351" t="s">
        <v>111</v>
      </c>
      <c r="D351" t="s">
        <v>8</v>
      </c>
      <c r="E351" s="3" t="str">
        <f>HYPERLINK("http://www.otzar.org/book.asp?142194","דער רבי רעדט צו קינדער - 3 כר'")</f>
        <v>דער רבי רעדט צו קינדער - 3 כר'</v>
      </c>
    </row>
    <row r="352" spans="1:5" x14ac:dyDescent="0.2">
      <c r="A352" t="s">
        <v>691</v>
      </c>
      <c r="B352" t="s">
        <v>691</v>
      </c>
      <c r="C352" t="s">
        <v>126</v>
      </c>
      <c r="D352" t="s">
        <v>8</v>
      </c>
      <c r="E352" s="3" t="str">
        <f>HYPERLINK("http://www.otzar.org/book.asp?141579","דער שבת")</f>
        <v>דער שבת</v>
      </c>
    </row>
    <row r="353" spans="1:5" x14ac:dyDescent="0.2">
      <c r="A353" t="s">
        <v>692</v>
      </c>
      <c r="B353" t="s">
        <v>62</v>
      </c>
      <c r="C353" t="s">
        <v>693</v>
      </c>
      <c r="D353" t="s">
        <v>8</v>
      </c>
      <c r="E353" s="3" t="str">
        <f>HYPERLINK("http://www.otzar.org/book.asp?145422","דער שמע ישראל וואס אדמו""ר רשכבה""ג הצמח צדק")</f>
        <v>דער שמע ישראל וואס אדמו"ר רשכבה"ג הצמח צדק</v>
      </c>
    </row>
    <row r="354" spans="1:5" x14ac:dyDescent="0.2">
      <c r="A354" t="s">
        <v>694</v>
      </c>
      <c r="B354" t="s">
        <v>695</v>
      </c>
      <c r="C354" t="s">
        <v>152</v>
      </c>
      <c r="D354" t="s">
        <v>8</v>
      </c>
      <c r="E354" s="3" t="str">
        <f>HYPERLINK("http://www.otzar.org/book.asp?27019","דערצייל מיר א מעשה - 2 כר'")</f>
        <v>דערצייל מיר א מעשה - 2 כר'</v>
      </c>
    </row>
    <row r="355" spans="1:5" x14ac:dyDescent="0.2">
      <c r="A355" t="s">
        <v>696</v>
      </c>
      <c r="B355" t="s">
        <v>697</v>
      </c>
      <c r="C355" t="s">
        <v>327</v>
      </c>
      <c r="D355" t="s">
        <v>12</v>
      </c>
      <c r="E355" s="3" t="str">
        <f>HYPERLINK("http://www.otzar.org/book.asp?28770","דעת מאיר")</f>
        <v>דעת מאיר</v>
      </c>
    </row>
    <row r="356" spans="1:5" x14ac:dyDescent="0.2">
      <c r="A356" t="s">
        <v>698</v>
      </c>
      <c r="B356" t="s">
        <v>699</v>
      </c>
      <c r="C356" t="s">
        <v>60</v>
      </c>
      <c r="D356" t="s">
        <v>116</v>
      </c>
      <c r="E356" s="3" t="str">
        <f>HYPERLINK("http://www.otzar.org/book.asp?26520","דעת תורה בעניני המצב בארץ הקדש")</f>
        <v>דעת תורה בעניני המצב בארץ הקדש</v>
      </c>
    </row>
    <row r="357" spans="1:5" x14ac:dyDescent="0.2">
      <c r="A357" t="s">
        <v>700</v>
      </c>
      <c r="B357" t="s">
        <v>30</v>
      </c>
      <c r="C357" t="s">
        <v>301</v>
      </c>
      <c r="D357" t="s">
        <v>19</v>
      </c>
      <c r="E357" s="3" t="str">
        <f>HYPERLINK("http://www.otzar.org/book.asp?146222","דעת תורה ע""ד המצב באה""ק ת""ו")</f>
        <v>דעת תורה ע"ד המצב באה"ק ת"ו</v>
      </c>
    </row>
    <row r="358" spans="1:5" x14ac:dyDescent="0.2">
      <c r="A358" t="s">
        <v>701</v>
      </c>
      <c r="B358" t="s">
        <v>702</v>
      </c>
      <c r="C358" t="s">
        <v>213</v>
      </c>
      <c r="D358" t="s">
        <v>8</v>
      </c>
      <c r="E358" s="3" t="str">
        <f>HYPERLINK("http://www.otzar.org/book.asp?146511","דעת תורה")</f>
        <v>דעת תורה</v>
      </c>
    </row>
    <row r="359" spans="1:5" x14ac:dyDescent="0.2">
      <c r="A359" t="s">
        <v>703</v>
      </c>
      <c r="B359" t="s">
        <v>704</v>
      </c>
      <c r="C359" t="s">
        <v>148</v>
      </c>
      <c r="D359" t="s">
        <v>556</v>
      </c>
      <c r="E359" s="3" t="str">
        <f>HYPERLINK("http://www.otzar.org/book.asp?29337","דעתן עלך")</f>
        <v>דעתן עלך</v>
      </c>
    </row>
    <row r="360" spans="1:5" x14ac:dyDescent="0.2">
      <c r="A360" t="s">
        <v>705</v>
      </c>
      <c r="B360" t="s">
        <v>24</v>
      </c>
      <c r="C360" t="s">
        <v>67</v>
      </c>
      <c r="D360" t="s">
        <v>12</v>
      </c>
      <c r="E360" s="3" t="str">
        <f>HYPERLINK("http://www.otzar.org/book.asp?27541","דרוש לחתונה עם ביאורי ר' הלל מפאריטש")</f>
        <v>דרוש לחתונה עם ביאורי ר' הלל מפאריטש</v>
      </c>
    </row>
    <row r="361" spans="1:5" x14ac:dyDescent="0.2">
      <c r="A361" t="s">
        <v>706</v>
      </c>
      <c r="B361" t="s">
        <v>38</v>
      </c>
      <c r="C361" t="s">
        <v>707</v>
      </c>
      <c r="D361" t="s">
        <v>708</v>
      </c>
      <c r="E361" s="3" t="str">
        <f>HYPERLINK("http://www.otzar.org/book.asp?104415","דרושי חתונה")</f>
        <v>דרושי חתונה</v>
      </c>
    </row>
    <row r="362" spans="1:5" x14ac:dyDescent="0.2">
      <c r="A362" t="s">
        <v>709</v>
      </c>
      <c r="B362" t="s">
        <v>64</v>
      </c>
      <c r="C362" t="s">
        <v>44</v>
      </c>
      <c r="D362" t="s">
        <v>8</v>
      </c>
      <c r="E362" s="3" t="str">
        <f>HYPERLINK("http://www.otzar.org/book.asp?195720","דרושי חתונה - 2 כר'")</f>
        <v>דרושי חתונה - 2 כר'</v>
      </c>
    </row>
    <row r="363" spans="1:5" x14ac:dyDescent="0.2">
      <c r="A363" t="s">
        <v>710</v>
      </c>
      <c r="B363" t="s">
        <v>711</v>
      </c>
      <c r="C363" t="s">
        <v>155</v>
      </c>
      <c r="D363" t="s">
        <v>8</v>
      </c>
      <c r="E363" s="3" t="str">
        <f>HYPERLINK("http://www.otzar.org/book.asp?141346","דרך אמונה")</f>
        <v>דרך אמונה</v>
      </c>
    </row>
    <row r="364" spans="1:5" x14ac:dyDescent="0.2">
      <c r="A364" t="s">
        <v>710</v>
      </c>
      <c r="B364" t="s">
        <v>62</v>
      </c>
      <c r="C364" t="s">
        <v>712</v>
      </c>
      <c r="D364" t="s">
        <v>92</v>
      </c>
      <c r="E364" s="3" t="str">
        <f>HYPERLINK("http://www.otzar.org/book.asp?17543","דרך אמונה")</f>
        <v>דרך אמונה</v>
      </c>
    </row>
    <row r="365" spans="1:5" x14ac:dyDescent="0.2">
      <c r="A365" t="s">
        <v>713</v>
      </c>
      <c r="B365" t="s">
        <v>714</v>
      </c>
      <c r="C365" t="s">
        <v>76</v>
      </c>
      <c r="D365" t="s">
        <v>19</v>
      </c>
      <c r="E365" s="3" t="str">
        <f>HYPERLINK("http://www.otzar.org/book.asp?27546","דרך המלך")</f>
        <v>דרך המלך</v>
      </c>
    </row>
    <row r="366" spans="1:5" x14ac:dyDescent="0.2">
      <c r="A366" t="s">
        <v>715</v>
      </c>
      <c r="B366" t="s">
        <v>43</v>
      </c>
      <c r="C366" t="s">
        <v>716</v>
      </c>
      <c r="D366" t="s">
        <v>717</v>
      </c>
      <c r="E366" s="3" t="str">
        <f>HYPERLINK("http://www.otzar.org/book.asp?104237","דרך חיים ותוכחת מוסר השכל - 2 כר'")</f>
        <v>דרך חיים ותוכחת מוסר השכל - 2 כר'</v>
      </c>
    </row>
    <row r="367" spans="1:5" x14ac:dyDescent="0.2">
      <c r="A367" t="s">
        <v>718</v>
      </c>
      <c r="B367" t="s">
        <v>43</v>
      </c>
      <c r="C367" t="s">
        <v>115</v>
      </c>
      <c r="D367" t="s">
        <v>8</v>
      </c>
      <c r="E367" s="3" t="str">
        <f>HYPERLINK("http://www.otzar.org/book.asp?10403","דרך חיים")</f>
        <v>דרך חיים</v>
      </c>
    </row>
    <row r="368" spans="1:5" x14ac:dyDescent="0.2">
      <c r="A368" t="s">
        <v>719</v>
      </c>
      <c r="B368" t="s">
        <v>62</v>
      </c>
      <c r="C368" t="s">
        <v>39</v>
      </c>
      <c r="D368" t="s">
        <v>40</v>
      </c>
      <c r="E368" s="3" t="str">
        <f>HYPERLINK("http://www.otzar.org/book.asp?141687","דרך מצותיך &lt;טקסט&gt;")</f>
        <v>דרך מצותיך &lt;טקסט&gt;</v>
      </c>
    </row>
    <row r="369" spans="1:5" x14ac:dyDescent="0.2">
      <c r="A369" t="s">
        <v>720</v>
      </c>
      <c r="B369" t="s">
        <v>62</v>
      </c>
      <c r="C369" t="s">
        <v>82</v>
      </c>
      <c r="D369" t="s">
        <v>8</v>
      </c>
      <c r="E369" s="3" t="str">
        <f>HYPERLINK("http://www.otzar.org/book.asp?606897","דרך מצותיך המבואר - 2 כר'")</f>
        <v>דרך מצותיך המבואר - 2 כר'</v>
      </c>
    </row>
    <row r="370" spans="1:5" x14ac:dyDescent="0.2">
      <c r="A370" t="s">
        <v>721</v>
      </c>
      <c r="B370" t="s">
        <v>62</v>
      </c>
      <c r="C370" t="s">
        <v>67</v>
      </c>
      <c r="D370" t="s">
        <v>8</v>
      </c>
      <c r="E370" s="3" t="str">
        <f>HYPERLINK("http://www.otzar.org/book.asp?27154","דרך מצותיך - 3 כר'")</f>
        <v>דרך מצותיך - 3 כר'</v>
      </c>
    </row>
    <row r="371" spans="1:5" x14ac:dyDescent="0.2">
      <c r="A371" t="s">
        <v>722</v>
      </c>
      <c r="B371" t="s">
        <v>723</v>
      </c>
      <c r="C371" t="s">
        <v>82</v>
      </c>
      <c r="D371" t="s">
        <v>8</v>
      </c>
      <c r="E371" s="3" t="str">
        <f>HYPERLINK("http://www.otzar.org/book.asp?601583","דרך תמים - 3 כר'")</f>
        <v>דרך תמים - 3 כר'</v>
      </c>
    </row>
    <row r="372" spans="1:5" x14ac:dyDescent="0.2">
      <c r="A372" t="s">
        <v>724</v>
      </c>
      <c r="B372" t="s">
        <v>30</v>
      </c>
      <c r="C372" t="s">
        <v>350</v>
      </c>
      <c r="D372" t="s">
        <v>8</v>
      </c>
      <c r="E372" s="3" t="str">
        <f>HYPERLINK("http://www.otzar.org/book.asp?611243","דרכי החיים")</f>
        <v>דרכי החיים</v>
      </c>
    </row>
    <row r="373" spans="1:5" x14ac:dyDescent="0.2">
      <c r="A373" t="s">
        <v>725</v>
      </c>
      <c r="B373" t="s">
        <v>172</v>
      </c>
      <c r="C373" t="s">
        <v>148</v>
      </c>
      <c r="D373" t="s">
        <v>12</v>
      </c>
      <c r="E373" s="3" t="str">
        <f>HYPERLINK("http://www.otzar.org/book.asp?29262","דרכי החסידות - 2 כר'")</f>
        <v>דרכי החסידות - 2 כר'</v>
      </c>
    </row>
    <row r="374" spans="1:5" x14ac:dyDescent="0.2">
      <c r="A374" t="s">
        <v>726</v>
      </c>
      <c r="B374" t="s">
        <v>727</v>
      </c>
      <c r="C374" t="s">
        <v>44</v>
      </c>
      <c r="D374" t="s">
        <v>12</v>
      </c>
      <c r="E374" s="3" t="str">
        <f>HYPERLINK("http://www.otzar.org/book.asp?173551","דרכי החסידות - על סדר פרשיות התורה")</f>
        <v>דרכי החסידות - על סדר פרשיות התורה</v>
      </c>
    </row>
    <row r="375" spans="1:5" x14ac:dyDescent="0.2">
      <c r="A375" t="s">
        <v>728</v>
      </c>
      <c r="B375" t="s">
        <v>729</v>
      </c>
      <c r="C375" t="s">
        <v>730</v>
      </c>
      <c r="D375" t="s">
        <v>731</v>
      </c>
      <c r="E375" s="3" t="str">
        <f>HYPERLINK("http://www.otzar.org/book.asp?10528","דרש טוב")</f>
        <v>דרש טוב</v>
      </c>
    </row>
    <row r="376" spans="1:5" x14ac:dyDescent="0.2">
      <c r="A376" t="s">
        <v>732</v>
      </c>
      <c r="B376" t="s">
        <v>733</v>
      </c>
      <c r="C376" t="s">
        <v>82</v>
      </c>
      <c r="D376" t="s">
        <v>571</v>
      </c>
      <c r="E376" s="3" t="str">
        <f>HYPERLINK("http://www.otzar.org/book.asp?607700","דרשה לכל דורש - 3 כר'")</f>
        <v>דרשה לכל דורש - 3 כר'</v>
      </c>
    </row>
    <row r="377" spans="1:5" x14ac:dyDescent="0.2">
      <c r="A377" t="s">
        <v>734</v>
      </c>
      <c r="B377" t="s">
        <v>735</v>
      </c>
      <c r="C377" t="s">
        <v>736</v>
      </c>
      <c r="D377" t="s">
        <v>8</v>
      </c>
      <c r="E377" s="3" t="str">
        <f>HYPERLINK("http://www.otzar.org/book.asp?141349","האדם והבריאה")</f>
        <v>האדם והבריאה</v>
      </c>
    </row>
    <row r="378" spans="1:5" x14ac:dyDescent="0.2">
      <c r="A378" t="s">
        <v>737</v>
      </c>
      <c r="B378" t="s">
        <v>737</v>
      </c>
      <c r="C378" t="s">
        <v>36</v>
      </c>
      <c r="D378" t="s">
        <v>19</v>
      </c>
      <c r="E378" s="3" t="str">
        <f>HYPERLINK("http://www.otzar.org/book.asp?614756","האדמו""ר מליובאוויטש - ליובלו השבעים")</f>
        <v>האדמו"ר מליובאוויטש - ליובלו השבעים</v>
      </c>
    </row>
    <row r="379" spans="1:5" x14ac:dyDescent="0.2">
      <c r="A379" t="s">
        <v>738</v>
      </c>
      <c r="B379" t="s">
        <v>739</v>
      </c>
      <c r="C379" t="s">
        <v>740</v>
      </c>
      <c r="D379" t="s">
        <v>741</v>
      </c>
      <c r="E379" s="3" t="str">
        <f>HYPERLINK("http://www.otzar.org/book.asp?169964","האח - כל הגליונות")</f>
        <v>האח - כל הגליונות</v>
      </c>
    </row>
    <row r="380" spans="1:5" x14ac:dyDescent="0.2">
      <c r="A380" t="s">
        <v>742</v>
      </c>
      <c r="B380" t="s">
        <v>336</v>
      </c>
      <c r="C380" t="s">
        <v>11</v>
      </c>
      <c r="D380" t="s">
        <v>743</v>
      </c>
      <c r="E380" s="3" t="str">
        <f>HYPERLINK("http://www.otzar.org/book.asp?162744","האיש של הרבי בערד")</f>
        <v>האיש של הרבי בערד</v>
      </c>
    </row>
    <row r="381" spans="1:5" x14ac:dyDescent="0.2">
      <c r="A381" t="s">
        <v>744</v>
      </c>
      <c r="B381" t="s">
        <v>745</v>
      </c>
      <c r="D381" t="s">
        <v>8</v>
      </c>
      <c r="E381" s="3" t="str">
        <f>HYPERLINK("http://www.otzar.org/book.asp?627063","האמונה והפצתה")</f>
        <v>האמונה והפצתה</v>
      </c>
    </row>
    <row r="382" spans="1:5" x14ac:dyDescent="0.2">
      <c r="A382" t="s">
        <v>746</v>
      </c>
      <c r="B382" t="s">
        <v>747</v>
      </c>
      <c r="C382" t="s">
        <v>82</v>
      </c>
      <c r="D382" t="s">
        <v>12</v>
      </c>
      <c r="E382" s="3" t="str">
        <f>HYPERLINK("http://www.otzar.org/book.asp?196255","הבית החב""די")</f>
        <v>הבית החב"די</v>
      </c>
    </row>
    <row r="383" spans="1:5" x14ac:dyDescent="0.2">
      <c r="A383" t="s">
        <v>748</v>
      </c>
      <c r="B383" t="s">
        <v>749</v>
      </c>
      <c r="C383" t="s">
        <v>73</v>
      </c>
      <c r="D383" t="s">
        <v>12</v>
      </c>
      <c r="E383" s="3" t="str">
        <f>HYPERLINK("http://www.otzar.org/book.asp?181498","הבית החסידי במשנתו של הרבי - 3 כר'")</f>
        <v>הבית החסידי במשנתו של הרבי - 3 כר'</v>
      </c>
    </row>
    <row r="384" spans="1:5" x14ac:dyDescent="0.2">
      <c r="A384" t="s">
        <v>750</v>
      </c>
      <c r="B384" t="s">
        <v>751</v>
      </c>
      <c r="C384" t="s">
        <v>142</v>
      </c>
      <c r="D384" t="s">
        <v>571</v>
      </c>
      <c r="E384" s="3" t="str">
        <f>HYPERLINK("http://www.otzar.org/book.asp?618913","הבית השני - חוברת לימוד")</f>
        <v>הבית השני - חוברת לימוד</v>
      </c>
    </row>
    <row r="385" spans="1:5" x14ac:dyDescent="0.2">
      <c r="A385" t="s">
        <v>752</v>
      </c>
      <c r="B385" t="s">
        <v>753</v>
      </c>
      <c r="C385" t="s">
        <v>111</v>
      </c>
      <c r="D385" t="s">
        <v>8</v>
      </c>
      <c r="E385" s="3" t="str">
        <f>HYPERLINK("http://www.otzar.org/book.asp?27570","הבעל שם טוב - 300 שנה להולדתו")</f>
        <v>הבעל שם טוב - 300 שנה להולדתו</v>
      </c>
    </row>
    <row r="386" spans="1:5" x14ac:dyDescent="0.2">
      <c r="A386" t="s">
        <v>754</v>
      </c>
      <c r="B386" t="s">
        <v>479</v>
      </c>
      <c r="C386" t="s">
        <v>76</v>
      </c>
      <c r="D386" t="s">
        <v>12</v>
      </c>
      <c r="E386" s="3" t="str">
        <f>HYPERLINK("http://www.otzar.org/book.asp?27864","הבעל שם טוב")</f>
        <v>הבעל שם טוב</v>
      </c>
    </row>
    <row r="387" spans="1:5" x14ac:dyDescent="0.2">
      <c r="A387" t="s">
        <v>755</v>
      </c>
      <c r="B387" t="s">
        <v>756</v>
      </c>
      <c r="C387" t="s">
        <v>448</v>
      </c>
      <c r="D387" t="s">
        <v>40</v>
      </c>
      <c r="E387" s="3" t="str">
        <f>HYPERLINK("http://www.otzar.org/book.asp?141390","הגאון מלובלין")</f>
        <v>הגאון מלובלין</v>
      </c>
    </row>
    <row r="388" spans="1:5" x14ac:dyDescent="0.2">
      <c r="A388" t="s">
        <v>757</v>
      </c>
      <c r="B388" t="s">
        <v>758</v>
      </c>
      <c r="C388" t="s">
        <v>191</v>
      </c>
      <c r="D388" t="s">
        <v>12</v>
      </c>
      <c r="E388" s="3" t="str">
        <f>HYPERLINK("http://www.otzar.org/book.asp?160593","הגדה למעשה - הגדה ש""פ עם מנהגי חב""ד")</f>
        <v>הגדה למעשה - הגדה ש"פ עם מנהגי חב"ד</v>
      </c>
    </row>
    <row r="389" spans="1:5" x14ac:dyDescent="0.2">
      <c r="A389" t="s">
        <v>759</v>
      </c>
      <c r="B389" t="s">
        <v>760</v>
      </c>
      <c r="C389" t="s">
        <v>165</v>
      </c>
      <c r="D389" t="s">
        <v>654</v>
      </c>
      <c r="E389" s="3" t="str">
        <f>HYPERLINK("http://www.otzar.org/book.asp?28793","הגדה לעם")</f>
        <v>הגדה לעם</v>
      </c>
    </row>
    <row r="390" spans="1:5" x14ac:dyDescent="0.2">
      <c r="A390" t="s">
        <v>761</v>
      </c>
      <c r="B390" t="s">
        <v>762</v>
      </c>
      <c r="C390" t="s">
        <v>39</v>
      </c>
      <c r="D390" t="s">
        <v>763</v>
      </c>
      <c r="E390" s="3" t="str">
        <f>HYPERLINK("http://www.otzar.org/book.asp?53177","הגדה של פסח &lt;נוסח חוקת הפסח של העדה הבוכרית&gt;")</f>
        <v>הגדה של פסח &lt;נוסח חוקת הפסח של העדה הבוכרית&gt;</v>
      </c>
    </row>
    <row r="391" spans="1:5" x14ac:dyDescent="0.2">
      <c r="A391" t="s">
        <v>764</v>
      </c>
      <c r="B391" t="s">
        <v>30</v>
      </c>
      <c r="C391" t="s">
        <v>39</v>
      </c>
      <c r="D391" t="s">
        <v>12</v>
      </c>
      <c r="E391" s="3" t="str">
        <f>HYPERLINK("http://www.otzar.org/book.asp?53175","הגדה של פסח &lt;עם ליקוטי טעמים ומנהגים&gt;")</f>
        <v>הגדה של פסח &lt;עם ליקוטי טעמים ומנהגים&gt;</v>
      </c>
    </row>
    <row r="392" spans="1:5" x14ac:dyDescent="0.2">
      <c r="A392" t="s">
        <v>765</v>
      </c>
      <c r="B392" t="s">
        <v>766</v>
      </c>
      <c r="C392" t="s">
        <v>73</v>
      </c>
      <c r="D392" t="s">
        <v>380</v>
      </c>
      <c r="E392" s="3" t="str">
        <f>HYPERLINK("http://www.otzar.org/book.asp?607883","הגדה של פסח בתרגום צרפתית - 2 כר'")</f>
        <v>הגדה של פסח בתרגום צרפתית - 2 כר'</v>
      </c>
    </row>
    <row r="393" spans="1:5" x14ac:dyDescent="0.2">
      <c r="A393" t="s">
        <v>767</v>
      </c>
      <c r="B393" t="s">
        <v>768</v>
      </c>
      <c r="C393" t="s">
        <v>76</v>
      </c>
      <c r="D393" t="s">
        <v>12</v>
      </c>
      <c r="E393" s="3" t="str">
        <f>HYPERLINK("http://www.otzar.org/book.asp?607674","הגדה של פסח בתרגום רוסית - 2 כר'")</f>
        <v>הגדה של פסח בתרגום רוסית - 2 כר'</v>
      </c>
    </row>
    <row r="394" spans="1:5" x14ac:dyDescent="0.2">
      <c r="A394" t="s">
        <v>769</v>
      </c>
      <c r="B394" t="s">
        <v>770</v>
      </c>
      <c r="C394" t="s">
        <v>771</v>
      </c>
      <c r="D394" t="s">
        <v>772</v>
      </c>
      <c r="E394" s="3" t="str">
        <f>HYPERLINK("http://www.otzar.org/book.asp?146396","הגדה של פסח ע""פ בריש גלי")</f>
        <v>הגדה של פסח ע"פ בריש גלי</v>
      </c>
    </row>
    <row r="395" spans="1:5" x14ac:dyDescent="0.2">
      <c r="A395" t="s">
        <v>773</v>
      </c>
      <c r="B395" t="s">
        <v>774</v>
      </c>
      <c r="C395" t="s">
        <v>142</v>
      </c>
      <c r="D395" t="s">
        <v>775</v>
      </c>
      <c r="E395" s="3" t="str">
        <f>HYPERLINK("http://www.otzar.org/book.asp?615050","הגדה של פסח עם ביאור דברי שלום")</f>
        <v>הגדה של פסח עם ביאור דברי שלום</v>
      </c>
    </row>
    <row r="396" spans="1:5" x14ac:dyDescent="0.2">
      <c r="A396" t="s">
        <v>776</v>
      </c>
      <c r="B396" t="s">
        <v>30</v>
      </c>
      <c r="C396" t="s">
        <v>73</v>
      </c>
      <c r="D396" t="s">
        <v>8</v>
      </c>
      <c r="E396" s="3" t="str">
        <f>HYPERLINK("http://www.otzar.org/book.asp?181090","הגדה של פסח עם ליקוטי טעמים ומנהגים - 6 כר'")</f>
        <v>הגדה של פסח עם ליקוטי טעמים ומנהגים - 6 כר'</v>
      </c>
    </row>
    <row r="397" spans="1:5" x14ac:dyDescent="0.2">
      <c r="A397" t="s">
        <v>777</v>
      </c>
      <c r="B397" t="s">
        <v>778</v>
      </c>
      <c r="C397" t="s">
        <v>11</v>
      </c>
      <c r="D397" t="s">
        <v>8</v>
      </c>
      <c r="E397" s="3" t="str">
        <f>HYPERLINK("http://www.otzar.org/book.asp?168955","הגדה של פסח עם תרגום אנגלית")</f>
        <v>הגדה של פסח עם תרגום אנגלית</v>
      </c>
    </row>
    <row r="398" spans="1:5" x14ac:dyDescent="0.2">
      <c r="A398" t="s">
        <v>779</v>
      </c>
      <c r="B398" t="s">
        <v>780</v>
      </c>
      <c r="C398" t="s">
        <v>327</v>
      </c>
      <c r="D398" t="s">
        <v>8</v>
      </c>
      <c r="E398" s="3" t="str">
        <f>HYPERLINK("http://www.otzar.org/book.asp?27874","הגדה של פסח - עם תרגום אנגלי")</f>
        <v>הגדה של פסח - עם תרגום אנגלי</v>
      </c>
    </row>
    <row r="399" spans="1:5" x14ac:dyDescent="0.2">
      <c r="A399" t="s">
        <v>781</v>
      </c>
      <c r="B399" t="s">
        <v>782</v>
      </c>
      <c r="C399" t="s">
        <v>142</v>
      </c>
      <c r="D399" t="s">
        <v>783</v>
      </c>
      <c r="E399" s="3" t="str">
        <f>HYPERLINK("http://www.otzar.org/book.asp?616789","הגדה של פסח - ההגדה לעורך הסדר")</f>
        <v>הגדה של פסח - ההגדה לעורך הסדר</v>
      </c>
    </row>
    <row r="400" spans="1:5" x14ac:dyDescent="0.2">
      <c r="A400" t="s">
        <v>784</v>
      </c>
      <c r="B400" t="s">
        <v>785</v>
      </c>
      <c r="C400" t="s">
        <v>73</v>
      </c>
      <c r="D400" t="s">
        <v>12</v>
      </c>
      <c r="E400" s="3" t="str">
        <f>HYPERLINK("http://www.otzar.org/book.asp?181648","הגדת ארבעת הבנים")</f>
        <v>הגדת ארבעת הבנים</v>
      </c>
    </row>
    <row r="401" spans="1:5" x14ac:dyDescent="0.2">
      <c r="A401" t="s">
        <v>786</v>
      </c>
      <c r="B401" t="s">
        <v>787</v>
      </c>
      <c r="C401" t="s">
        <v>82</v>
      </c>
      <c r="D401" t="s">
        <v>788</v>
      </c>
      <c r="E401" s="3" t="str">
        <f>HYPERLINK("http://www.otzar.org/book.asp?607473","הגדת מלך")</f>
        <v>הגדת מלך</v>
      </c>
    </row>
    <row r="402" spans="1:5" x14ac:dyDescent="0.2">
      <c r="A402" t="s">
        <v>789</v>
      </c>
      <c r="B402" t="s">
        <v>64</v>
      </c>
      <c r="C402" t="s">
        <v>165</v>
      </c>
      <c r="D402" t="s">
        <v>8</v>
      </c>
      <c r="E402" s="3" t="str">
        <f>HYPERLINK("http://www.otzar.org/book.asp?27013","הגהות לד""ה פתח אליהו - 2 כר'")</f>
        <v>הגהות לד"ה פתח אליהו - 2 כר'</v>
      </c>
    </row>
    <row r="403" spans="1:5" x14ac:dyDescent="0.2">
      <c r="A403" t="s">
        <v>790</v>
      </c>
      <c r="B403" t="s">
        <v>30</v>
      </c>
      <c r="C403" t="s">
        <v>39</v>
      </c>
      <c r="D403" t="s">
        <v>8</v>
      </c>
      <c r="E403" s="3" t="str">
        <f>HYPERLINK("http://www.otzar.org/book.asp?140877","הגהות לסידור רבנו הזקן")</f>
        <v>הגהות לסידור רבנו הזקן</v>
      </c>
    </row>
    <row r="404" spans="1:5" x14ac:dyDescent="0.2">
      <c r="A404" t="s">
        <v>791</v>
      </c>
      <c r="B404" t="s">
        <v>792</v>
      </c>
      <c r="C404" t="s">
        <v>350</v>
      </c>
      <c r="D404" t="s">
        <v>208</v>
      </c>
      <c r="E404" s="3" t="str">
        <f>HYPERLINK("http://www.otzar.org/book.asp?610254","הגהות על מאמר באתי לגני תשל""ז")</f>
        <v>הגהות על מאמר באתי לגני תשל"ז</v>
      </c>
    </row>
    <row r="405" spans="1:5" x14ac:dyDescent="0.2">
      <c r="A405" t="s">
        <v>793</v>
      </c>
      <c r="B405" t="s">
        <v>207</v>
      </c>
      <c r="C405" t="s">
        <v>22</v>
      </c>
      <c r="D405" t="s">
        <v>12</v>
      </c>
      <c r="E405" s="3" t="str">
        <f>HYPERLINK("http://www.otzar.org/book.asp?141445","הגיע זמן גאולתכם")</f>
        <v>הגיע זמן גאולתכם</v>
      </c>
    </row>
    <row r="406" spans="1:5" x14ac:dyDescent="0.2">
      <c r="A406" t="s">
        <v>794</v>
      </c>
      <c r="B406" t="s">
        <v>795</v>
      </c>
      <c r="C406" t="s">
        <v>796</v>
      </c>
      <c r="D406" t="s">
        <v>797</v>
      </c>
      <c r="E406" s="3" t="str">
        <f>HYPERLINK("http://www.otzar.org/book.asp?613910","הדוד בנימין")</f>
        <v>הדוד בנימין</v>
      </c>
    </row>
    <row r="407" spans="1:5" x14ac:dyDescent="0.2">
      <c r="A407" t="s">
        <v>798</v>
      </c>
      <c r="B407" t="s">
        <v>799</v>
      </c>
      <c r="C407" t="s">
        <v>76</v>
      </c>
      <c r="D407" t="s">
        <v>19</v>
      </c>
      <c r="E407" s="3" t="str">
        <f>HYPERLINK("http://www.otzar.org/book.asp?146270","הדפסת ספר התניא")</f>
        <v>הדפסת ספר התניא</v>
      </c>
    </row>
    <row r="408" spans="1:5" x14ac:dyDescent="0.2">
      <c r="A408" t="s">
        <v>800</v>
      </c>
      <c r="B408" t="s">
        <v>108</v>
      </c>
      <c r="C408" t="s">
        <v>301</v>
      </c>
      <c r="D408" t="s">
        <v>801</v>
      </c>
      <c r="E408" s="3" t="str">
        <f>HYPERLINK("http://www.otzar.org/book.asp?27732","הדר הכרמל")</f>
        <v>הדר הכרמל</v>
      </c>
    </row>
    <row r="409" spans="1:5" x14ac:dyDescent="0.2">
      <c r="A409" t="s">
        <v>802</v>
      </c>
      <c r="B409" t="s">
        <v>108</v>
      </c>
      <c r="C409" t="s">
        <v>52</v>
      </c>
      <c r="D409" t="s">
        <v>8</v>
      </c>
      <c r="E409" s="3" t="str">
        <f>HYPERLINK("http://www.otzar.org/book.asp?26478","הדרך הישרה - א")</f>
        <v>הדרך הישרה - א</v>
      </c>
    </row>
    <row r="410" spans="1:5" x14ac:dyDescent="0.2">
      <c r="A410" t="s">
        <v>803</v>
      </c>
      <c r="B410" t="s">
        <v>804</v>
      </c>
      <c r="C410" t="s">
        <v>805</v>
      </c>
      <c r="D410" t="s">
        <v>40</v>
      </c>
      <c r="E410" s="3" t="str">
        <f>HYPERLINK("http://www.otzar.org/book.asp?11976","הדרך להשמחה והאמת")</f>
        <v>הדרך להשמחה והאמת</v>
      </c>
    </row>
    <row r="411" spans="1:5" x14ac:dyDescent="0.2">
      <c r="A411" t="s">
        <v>806</v>
      </c>
      <c r="B411" t="s">
        <v>807</v>
      </c>
      <c r="C411" t="s">
        <v>129</v>
      </c>
      <c r="D411" t="s">
        <v>71</v>
      </c>
      <c r="E411" s="3" t="str">
        <f>HYPERLINK("http://www.otzar.org/book.asp?26968","הדרך לחיים של משמעות")</f>
        <v>הדרך לחיים של משמעות</v>
      </c>
    </row>
    <row r="412" spans="1:5" x14ac:dyDescent="0.2">
      <c r="A412" t="s">
        <v>808</v>
      </c>
      <c r="B412" t="s">
        <v>30</v>
      </c>
      <c r="C412" t="s">
        <v>152</v>
      </c>
      <c r="D412" t="s">
        <v>8</v>
      </c>
      <c r="E412" s="3" t="str">
        <f>HYPERLINK("http://www.otzar.org/book.asp?140947","הדרן על הש""ס")</f>
        <v>הדרן על הש"ס</v>
      </c>
    </row>
    <row r="413" spans="1:5" x14ac:dyDescent="0.2">
      <c r="A413" t="s">
        <v>809</v>
      </c>
      <c r="B413" t="s">
        <v>30</v>
      </c>
      <c r="C413" t="s">
        <v>152</v>
      </c>
      <c r="D413" t="s">
        <v>8</v>
      </c>
      <c r="E413" s="3" t="str">
        <f>HYPERLINK("http://www.otzar.org/book.asp?146392","הדרן על ששה סדרי משנה")</f>
        <v>הדרן על ששה סדרי משנה</v>
      </c>
    </row>
    <row r="414" spans="1:5" x14ac:dyDescent="0.2">
      <c r="A414" t="s">
        <v>810</v>
      </c>
      <c r="B414" t="s">
        <v>30</v>
      </c>
      <c r="C414" t="s">
        <v>15</v>
      </c>
      <c r="D414" t="s">
        <v>8</v>
      </c>
      <c r="E414" s="3" t="str">
        <f>HYPERLINK("http://www.otzar.org/book.asp?195705","הדרן - 2 כר'")</f>
        <v>הדרן - 2 כר'</v>
      </c>
    </row>
    <row r="415" spans="1:5" x14ac:dyDescent="0.2">
      <c r="A415" t="s">
        <v>811</v>
      </c>
      <c r="B415" t="s">
        <v>30</v>
      </c>
      <c r="C415" t="s">
        <v>122</v>
      </c>
      <c r="D415" t="s">
        <v>19</v>
      </c>
      <c r="E415" s="3" t="str">
        <f>HYPERLINK("http://www.otzar.org/book.asp?145758","הדרנים על הרמב""ם")</f>
        <v>הדרנים על הרמב"ם</v>
      </c>
    </row>
    <row r="416" spans="1:5" x14ac:dyDescent="0.2">
      <c r="A416" t="s">
        <v>812</v>
      </c>
      <c r="B416" t="s">
        <v>813</v>
      </c>
      <c r="C416" t="s">
        <v>165</v>
      </c>
      <c r="D416" t="s">
        <v>19</v>
      </c>
      <c r="E416" s="3" t="str">
        <f>HYPERLINK("http://www.otzar.org/book.asp?26514","הדרנים על ששה סדרי משנה")</f>
        <v>הדרנים על ששה סדרי משנה</v>
      </c>
    </row>
    <row r="417" spans="1:5" x14ac:dyDescent="0.2">
      <c r="A417" t="s">
        <v>814</v>
      </c>
      <c r="B417" t="s">
        <v>815</v>
      </c>
      <c r="C417" t="s">
        <v>22</v>
      </c>
      <c r="D417" t="s">
        <v>816</v>
      </c>
      <c r="E417" s="3" t="str">
        <f>HYPERLINK("http://www.otzar.org/book.asp?145740","הדרת מלך - גיטין")</f>
        <v>הדרת מלך - גיטין</v>
      </c>
    </row>
    <row r="418" spans="1:5" x14ac:dyDescent="0.2">
      <c r="A418" t="s">
        <v>817</v>
      </c>
      <c r="B418" t="s">
        <v>818</v>
      </c>
      <c r="C418" t="s">
        <v>49</v>
      </c>
      <c r="D418" t="s">
        <v>8</v>
      </c>
      <c r="E418" s="3" t="str">
        <f>HYPERLINK("http://www.otzar.org/book.asp?27370","הדרת מלך - 5 כר'")</f>
        <v>הדרת מלך - 5 כר'</v>
      </c>
    </row>
    <row r="419" spans="1:5" x14ac:dyDescent="0.2">
      <c r="A419" t="s">
        <v>819</v>
      </c>
      <c r="B419" t="s">
        <v>820</v>
      </c>
      <c r="C419" t="s">
        <v>65</v>
      </c>
      <c r="D419" t="s">
        <v>821</v>
      </c>
      <c r="E419" s="3" t="str">
        <f>HYPERLINK("http://www.otzar.org/book.asp?106111","הדרת מלך")</f>
        <v>הדרת מלך</v>
      </c>
    </row>
    <row r="420" spans="1:5" x14ac:dyDescent="0.2">
      <c r="A420" t="s">
        <v>822</v>
      </c>
      <c r="B420" t="s">
        <v>823</v>
      </c>
      <c r="C420" t="s">
        <v>7</v>
      </c>
      <c r="D420" t="s">
        <v>783</v>
      </c>
      <c r="E420" s="3" t="str">
        <f>HYPERLINK("http://www.otzar.org/book.asp?627247","ההגדה לעורך הסדר")</f>
        <v>ההגדה לעורך הסדר</v>
      </c>
    </row>
    <row r="421" spans="1:5" x14ac:dyDescent="0.2">
      <c r="A421" t="s">
        <v>824</v>
      </c>
      <c r="B421" t="s">
        <v>30</v>
      </c>
      <c r="C421" t="s">
        <v>11</v>
      </c>
      <c r="D421" t="s">
        <v>8</v>
      </c>
      <c r="E421" s="3" t="str">
        <f>HYPERLINK("http://www.otzar.org/book.asp?160842","ההתקשרות האמיתית")</f>
        <v>ההתקשרות האמיתית</v>
      </c>
    </row>
    <row r="422" spans="1:5" x14ac:dyDescent="0.2">
      <c r="A422" t="s">
        <v>825</v>
      </c>
      <c r="B422" t="s">
        <v>826</v>
      </c>
      <c r="C422" t="s">
        <v>119</v>
      </c>
      <c r="D422" t="s">
        <v>600</v>
      </c>
      <c r="E422" s="3" t="str">
        <f>HYPERLINK("http://www.otzar.org/book.asp?141348","הוגה בתורה")</f>
        <v>הוגה בתורה</v>
      </c>
    </row>
    <row r="423" spans="1:5" x14ac:dyDescent="0.2">
      <c r="A423" t="s">
        <v>827</v>
      </c>
      <c r="B423" t="s">
        <v>30</v>
      </c>
      <c r="C423" t="s">
        <v>34</v>
      </c>
      <c r="D423" t="s">
        <v>40</v>
      </c>
      <c r="E423" s="3" t="str">
        <f>HYPERLINK("http://www.otzar.org/book.asp?153354","הוה גביר")</f>
        <v>הוה גביר</v>
      </c>
    </row>
    <row r="424" spans="1:5" x14ac:dyDescent="0.2">
      <c r="A424" t="s">
        <v>828</v>
      </c>
      <c r="B424" t="s">
        <v>38</v>
      </c>
      <c r="C424" t="s">
        <v>82</v>
      </c>
      <c r="D424" t="s">
        <v>8</v>
      </c>
      <c r="E424" s="3" t="str">
        <f>HYPERLINK("http://www.otzar.org/book.asp?607984","הוויכוח במינסק (בתרגום אנגלית)")</f>
        <v>הוויכוח במינסק (בתרגום אנגלית)</v>
      </c>
    </row>
    <row r="425" spans="1:5" x14ac:dyDescent="0.2">
      <c r="A425" t="s">
        <v>829</v>
      </c>
      <c r="B425" t="s">
        <v>38</v>
      </c>
      <c r="C425" t="s">
        <v>34</v>
      </c>
      <c r="D425" t="s">
        <v>166</v>
      </c>
      <c r="E425" s="3" t="str">
        <f>HYPERLINK("http://www.otzar.org/book.asp?161297","הוויכוח במינסק")</f>
        <v>הוויכוח במינסק</v>
      </c>
    </row>
    <row r="426" spans="1:5" x14ac:dyDescent="0.2">
      <c r="A426" t="s">
        <v>830</v>
      </c>
      <c r="B426" t="s">
        <v>830</v>
      </c>
      <c r="C426" t="s">
        <v>18</v>
      </c>
      <c r="D426" t="s">
        <v>8</v>
      </c>
      <c r="E426" s="3" t="str">
        <f>HYPERLINK("http://www.otzar.org/book.asp?27551","הולך בדרך תמים")</f>
        <v>הולך בדרך תמים</v>
      </c>
    </row>
    <row r="427" spans="1:5" x14ac:dyDescent="0.2">
      <c r="A427" t="s">
        <v>831</v>
      </c>
      <c r="B427" t="s">
        <v>832</v>
      </c>
      <c r="C427" t="s">
        <v>44</v>
      </c>
      <c r="D427" t="s">
        <v>12</v>
      </c>
      <c r="E427" s="3" t="str">
        <f>HYPERLINK("http://www.otzar.org/book.asp?196127","הוצאת ספרים קה""ת - תולדותיה")</f>
        <v>הוצאת ספרים קה"ת - תולדותיה</v>
      </c>
    </row>
    <row r="428" spans="1:5" x14ac:dyDescent="0.2">
      <c r="A428" t="s">
        <v>833</v>
      </c>
      <c r="B428" t="s">
        <v>224</v>
      </c>
      <c r="C428" t="s">
        <v>49</v>
      </c>
      <c r="D428" t="s">
        <v>40</v>
      </c>
      <c r="E428" s="3" t="str">
        <f>HYPERLINK("http://www.otzar.org/book.asp?141518","הוראת המספרים")</f>
        <v>הוראת המספרים</v>
      </c>
    </row>
    <row r="429" spans="1:5" x14ac:dyDescent="0.2">
      <c r="A429" t="s">
        <v>834</v>
      </c>
      <c r="B429" t="s">
        <v>835</v>
      </c>
      <c r="C429" t="s">
        <v>52</v>
      </c>
      <c r="D429" t="s">
        <v>12</v>
      </c>
      <c r="E429" s="3" t="str">
        <f>HYPERLINK("http://www.otzar.org/book.asp?27900","הורנו מדרכיו - 2 כר'")</f>
        <v>הורנו מדרכיו - 2 כר'</v>
      </c>
    </row>
    <row r="430" spans="1:5" x14ac:dyDescent="0.2">
      <c r="A430" t="s">
        <v>836</v>
      </c>
      <c r="B430" t="s">
        <v>664</v>
      </c>
      <c r="C430" t="s">
        <v>15</v>
      </c>
      <c r="D430" t="s">
        <v>8</v>
      </c>
      <c r="E430" s="3" t="str">
        <f>HYPERLINK("http://www.otzar.org/book.asp?607666","הורנו מדרכיו - 3 כר'")</f>
        <v>הורנו מדרכיו - 3 כר'</v>
      </c>
    </row>
    <row r="431" spans="1:5" x14ac:dyDescent="0.2">
      <c r="A431" t="s">
        <v>837</v>
      </c>
      <c r="B431" t="s">
        <v>303</v>
      </c>
      <c r="C431" t="s">
        <v>76</v>
      </c>
      <c r="D431" t="s">
        <v>19</v>
      </c>
      <c r="E431" s="3" t="str">
        <f>HYPERLINK("http://www.otzar.org/book.asp?162752","הזולת הוא הראי")</f>
        <v>הזולת הוא הראי</v>
      </c>
    </row>
    <row r="432" spans="1:5" x14ac:dyDescent="0.2">
      <c r="A432" t="s">
        <v>838</v>
      </c>
      <c r="C432" t="s">
        <v>201</v>
      </c>
      <c r="D432" t="s">
        <v>19</v>
      </c>
      <c r="E432" s="3" t="str">
        <f>HYPERLINK("http://www.otzar.org/book.asp?146516","החגיגה העולמית לסיום ספר משנה תורה - 5 כר'")</f>
        <v>החגיגה העולמית לסיום ספר משנה תורה - 5 כר'</v>
      </c>
    </row>
    <row r="433" spans="1:5" x14ac:dyDescent="0.2">
      <c r="A433" t="s">
        <v>839</v>
      </c>
      <c r="B433" t="s">
        <v>840</v>
      </c>
      <c r="C433" t="s">
        <v>76</v>
      </c>
      <c r="D433" t="s">
        <v>19</v>
      </c>
      <c r="E433" s="3" t="str">
        <f>HYPERLINK("http://www.otzar.org/book.asp?146507","החוק הכפול והנגדי")</f>
        <v>החוק הכפול והנגדי</v>
      </c>
    </row>
    <row r="434" spans="1:5" x14ac:dyDescent="0.2">
      <c r="A434" t="s">
        <v>841</v>
      </c>
      <c r="B434" t="s">
        <v>842</v>
      </c>
      <c r="C434" t="s">
        <v>76</v>
      </c>
      <c r="D434" t="s">
        <v>12</v>
      </c>
      <c r="E434" s="3" t="str">
        <f>HYPERLINK("http://www.otzar.org/book.asp?607881","החיים השמחים")</f>
        <v>החיים השמחים</v>
      </c>
    </row>
    <row r="435" spans="1:5" x14ac:dyDescent="0.2">
      <c r="A435" t="s">
        <v>843</v>
      </c>
      <c r="B435" t="s">
        <v>844</v>
      </c>
      <c r="C435" t="s">
        <v>44</v>
      </c>
      <c r="D435" t="s">
        <v>12</v>
      </c>
      <c r="E435" s="3" t="str">
        <f>HYPERLINK("http://www.otzar.org/book.asp?173564","החינוך במשנתו של הרבי")</f>
        <v>החינוך במשנתו של הרבי</v>
      </c>
    </row>
    <row r="436" spans="1:5" x14ac:dyDescent="0.2">
      <c r="A436" t="s">
        <v>845</v>
      </c>
      <c r="B436" t="s">
        <v>846</v>
      </c>
      <c r="C436" t="s">
        <v>60</v>
      </c>
      <c r="D436" t="s">
        <v>12</v>
      </c>
      <c r="E436" s="3" t="str">
        <f>HYPERLINK("http://www.otzar.org/book.asp?614941","החינוך היהודי סוד ויסוד קיומנו")</f>
        <v>החינוך היהודי סוד ויסוד קיומנו</v>
      </c>
    </row>
    <row r="437" spans="1:5" x14ac:dyDescent="0.2">
      <c r="A437" t="s">
        <v>847</v>
      </c>
      <c r="B437" t="s">
        <v>848</v>
      </c>
      <c r="C437" t="s">
        <v>142</v>
      </c>
      <c r="D437" t="s">
        <v>8</v>
      </c>
      <c r="E437" s="3" t="str">
        <f>HYPERLINK("http://www.otzar.org/book.asp?630183","החינוך והמחנך")</f>
        <v>החינוך והמחנך</v>
      </c>
    </row>
    <row r="438" spans="1:5" x14ac:dyDescent="0.2">
      <c r="A438" t="s">
        <v>849</v>
      </c>
      <c r="B438" t="s">
        <v>207</v>
      </c>
      <c r="C438" t="s">
        <v>76</v>
      </c>
      <c r="D438" t="s">
        <v>19</v>
      </c>
      <c r="E438" s="3" t="str">
        <f>HYPERLINK("http://www.otzar.org/book.asp?141448","החינוך על טהרת הקודש")</f>
        <v>החינוך על טהרת הקודש</v>
      </c>
    </row>
    <row r="439" spans="1:5" x14ac:dyDescent="0.2">
      <c r="A439" t="s">
        <v>850</v>
      </c>
      <c r="B439" t="s">
        <v>851</v>
      </c>
      <c r="C439" t="s">
        <v>183</v>
      </c>
      <c r="D439" t="s">
        <v>12</v>
      </c>
      <c r="E439" s="3" t="str">
        <f>HYPERLINK("http://www.otzar.org/book.asp?162760","החן החסידי")</f>
        <v>החן החסידי</v>
      </c>
    </row>
    <row r="440" spans="1:5" x14ac:dyDescent="0.2">
      <c r="A440" t="s">
        <v>852</v>
      </c>
      <c r="B440" t="s">
        <v>853</v>
      </c>
      <c r="C440" t="s">
        <v>191</v>
      </c>
      <c r="D440" t="s">
        <v>12</v>
      </c>
      <c r="E440" s="3" t="str">
        <f>HYPERLINK("http://www.otzar.org/book.asp?150940","הטרקטוריסט של הרבי - 2 כר'")</f>
        <v>הטרקטוריסט של הרבי - 2 כר'</v>
      </c>
    </row>
    <row r="441" spans="1:5" x14ac:dyDescent="0.2">
      <c r="A441" t="s">
        <v>854</v>
      </c>
      <c r="B441" t="s">
        <v>855</v>
      </c>
      <c r="C441" t="s">
        <v>350</v>
      </c>
      <c r="D441" t="s">
        <v>80</v>
      </c>
      <c r="E441" s="3" t="str">
        <f>HYPERLINK("http://www.otzar.org/book.asp?607810","היא שיחתי - 2 כר'")</f>
        <v>היא שיחתי - 2 כר'</v>
      </c>
    </row>
    <row r="442" spans="1:5" x14ac:dyDescent="0.2">
      <c r="A442" t="s">
        <v>856</v>
      </c>
      <c r="B442" t="s">
        <v>6</v>
      </c>
      <c r="C442" t="s">
        <v>76</v>
      </c>
      <c r="D442" t="s">
        <v>857</v>
      </c>
      <c r="E442" s="3" t="str">
        <f>HYPERLINK("http://www.otzar.org/book.asp?607973","היום הרת עולם - ראש השנה ג")</f>
        <v>היום הרת עולם - ראש השנה ג</v>
      </c>
    </row>
    <row r="443" spans="1:5" x14ac:dyDescent="0.2">
      <c r="A443" t="s">
        <v>858</v>
      </c>
      <c r="B443" t="s">
        <v>38</v>
      </c>
      <c r="C443" t="s">
        <v>39</v>
      </c>
      <c r="D443" t="s">
        <v>40</v>
      </c>
      <c r="E443" s="3" t="str">
        <f>HYPERLINK("http://www.otzar.org/book.asp?141688","היום יום &lt;טקסט&gt;")</f>
        <v>היום יום &lt;טקסט&gt;</v>
      </c>
    </row>
    <row r="444" spans="1:5" x14ac:dyDescent="0.2">
      <c r="A444" t="s">
        <v>859</v>
      </c>
      <c r="B444" t="s">
        <v>38</v>
      </c>
      <c r="C444" t="s">
        <v>350</v>
      </c>
      <c r="D444" t="s">
        <v>116</v>
      </c>
      <c r="E444" s="3" t="str">
        <f>HYPERLINK("http://www.otzar.org/book.asp?607780","היום יום (בעברית)")</f>
        <v>היום יום (בעברית)</v>
      </c>
    </row>
    <row r="445" spans="1:5" x14ac:dyDescent="0.2">
      <c r="A445" t="s">
        <v>860</v>
      </c>
      <c r="B445" t="s">
        <v>38</v>
      </c>
      <c r="C445" t="s">
        <v>86</v>
      </c>
      <c r="D445" t="s">
        <v>8</v>
      </c>
      <c r="E445" s="3" t="str">
        <f>HYPERLINK("http://www.otzar.org/book.asp?147747","היום יום (מנוקד ומתורגם ללשה""ק)")</f>
        <v>היום יום (מנוקד ומתורגם ללשה"ק)</v>
      </c>
    </row>
    <row r="446" spans="1:5" x14ac:dyDescent="0.2">
      <c r="A446" t="s">
        <v>861</v>
      </c>
      <c r="B446" t="s">
        <v>38</v>
      </c>
      <c r="C446" t="s">
        <v>18</v>
      </c>
      <c r="D446" t="s">
        <v>8</v>
      </c>
      <c r="E446" s="3" t="str">
        <f>HYPERLINK("http://www.otzar.org/book.asp?150684","היום יום (מנוקד)")</f>
        <v>היום יום (מנוקד)</v>
      </c>
    </row>
    <row r="447" spans="1:5" x14ac:dyDescent="0.2">
      <c r="A447" t="s">
        <v>862</v>
      </c>
      <c r="B447" t="s">
        <v>38</v>
      </c>
      <c r="C447" t="s">
        <v>44</v>
      </c>
      <c r="D447" t="s">
        <v>12</v>
      </c>
      <c r="E447" s="3" t="str">
        <f>HYPERLINK("http://www.otzar.org/book.asp?189065","היום יום (משולב מקור ותרגום)")</f>
        <v>היום יום (משולב מקור ותרגום)</v>
      </c>
    </row>
    <row r="448" spans="1:5" x14ac:dyDescent="0.2">
      <c r="A448" t="s">
        <v>863</v>
      </c>
      <c r="B448" t="s">
        <v>38</v>
      </c>
      <c r="C448" t="s">
        <v>165</v>
      </c>
      <c r="D448" t="s">
        <v>8</v>
      </c>
      <c r="E448" s="3" t="str">
        <f>HYPERLINK("http://www.otzar.org/book.asp?27405","היום יום (עם תרגום אנגלי)")</f>
        <v>היום יום (עם תרגום אנגלי)</v>
      </c>
    </row>
    <row r="449" spans="1:5" x14ac:dyDescent="0.2">
      <c r="A449" t="s">
        <v>864</v>
      </c>
      <c r="B449" t="s">
        <v>30</v>
      </c>
      <c r="C449" t="s">
        <v>82</v>
      </c>
      <c r="D449" t="s">
        <v>208</v>
      </c>
      <c r="E449" s="3" t="str">
        <f>HYPERLINK("http://www.otzar.org/book.asp?607940","היום יום המבואר")</f>
        <v>היום יום המבואר</v>
      </c>
    </row>
    <row r="450" spans="1:5" x14ac:dyDescent="0.2">
      <c r="A450" t="s">
        <v>865</v>
      </c>
      <c r="B450" t="s">
        <v>38</v>
      </c>
      <c r="C450" t="s">
        <v>161</v>
      </c>
      <c r="D450" t="s">
        <v>8</v>
      </c>
      <c r="E450" s="3" t="str">
        <f>HYPERLINK("http://www.otzar.org/book.asp?27247","היום יום - 4 כר'")</f>
        <v>היום יום - 4 כר'</v>
      </c>
    </row>
    <row r="451" spans="1:5" x14ac:dyDescent="0.2">
      <c r="A451" t="s">
        <v>866</v>
      </c>
      <c r="B451" t="s">
        <v>105</v>
      </c>
      <c r="C451" t="s">
        <v>44</v>
      </c>
      <c r="D451" t="s">
        <v>19</v>
      </c>
      <c r="E451" s="3" t="str">
        <f>HYPERLINK("http://www.otzar.org/book.asp?181530","היונה והאריה")</f>
        <v>היונה והאריה</v>
      </c>
    </row>
    <row r="452" spans="1:5" x14ac:dyDescent="0.2">
      <c r="A452" t="s">
        <v>867</v>
      </c>
      <c r="B452" t="s">
        <v>108</v>
      </c>
      <c r="C452" t="s">
        <v>65</v>
      </c>
      <c r="D452" t="s">
        <v>8</v>
      </c>
      <c r="E452" s="3" t="str">
        <f>HYPERLINK("http://www.otzar.org/book.asp?27323","היכל המלך")</f>
        <v>היכל המלך</v>
      </c>
    </row>
    <row r="453" spans="1:5" x14ac:dyDescent="0.2">
      <c r="A453" t="s">
        <v>868</v>
      </c>
      <c r="B453" t="s">
        <v>30</v>
      </c>
      <c r="C453" t="s">
        <v>39</v>
      </c>
      <c r="D453" t="s">
        <v>40</v>
      </c>
      <c r="E453" s="3" t="str">
        <f>HYPERLINK("http://www.otzar.org/book.asp?53171","היכל הנגינה")</f>
        <v>היכל הנגינה</v>
      </c>
    </row>
    <row r="454" spans="1:5" x14ac:dyDescent="0.2">
      <c r="A454" t="s">
        <v>869</v>
      </c>
      <c r="B454" t="s">
        <v>30</v>
      </c>
      <c r="C454" t="s">
        <v>119</v>
      </c>
      <c r="D454" t="s">
        <v>40</v>
      </c>
      <c r="E454" s="3" t="str">
        <f>HYPERLINK("http://www.otzar.org/book.asp?143314","היכל מנחם - 3 כר'")</f>
        <v>היכל מנחם - 3 כר'</v>
      </c>
    </row>
    <row r="455" spans="1:5" x14ac:dyDescent="0.2">
      <c r="A455" t="s">
        <v>870</v>
      </c>
      <c r="B455" t="s">
        <v>108</v>
      </c>
      <c r="C455" t="s">
        <v>148</v>
      </c>
      <c r="D455" t="s">
        <v>323</v>
      </c>
      <c r="E455" s="3" t="str">
        <f>HYPERLINK("http://www.otzar.org/book.asp?28766","הילולא דרבי")</f>
        <v>הילולא דרבי</v>
      </c>
    </row>
    <row r="456" spans="1:5" x14ac:dyDescent="0.2">
      <c r="A456" t="s">
        <v>871</v>
      </c>
      <c r="B456" t="s">
        <v>30</v>
      </c>
      <c r="C456" t="s">
        <v>111</v>
      </c>
      <c r="D456" t="s">
        <v>12</v>
      </c>
      <c r="E456" s="3" t="str">
        <f>HYPERLINK("http://www.otzar.org/book.asp?140939","היסודות הרוחניים של כפר חב""ד ונחלת הר חב""ד")</f>
        <v>היסודות הרוחניים של כפר חב"ד ונחלת הר חב"ד</v>
      </c>
    </row>
    <row r="457" spans="1:5" x14ac:dyDescent="0.2">
      <c r="A457" t="s">
        <v>872</v>
      </c>
      <c r="E457" s="3" t="str">
        <f>HYPERLINK("http://www.otzar.org/book.asp?627179","הישיבה בית היוצר")</f>
        <v>הישיבה בית היוצר</v>
      </c>
    </row>
    <row r="458" spans="1:5" x14ac:dyDescent="0.2">
      <c r="A458" t="s">
        <v>873</v>
      </c>
      <c r="B458" t="s">
        <v>874</v>
      </c>
      <c r="C458" t="s">
        <v>54</v>
      </c>
      <c r="D458" t="s">
        <v>12</v>
      </c>
      <c r="E458" s="3" t="str">
        <f>HYPERLINK("http://www.otzar.org/book.asp?169957","הכוח הנשי - 2 כר'")</f>
        <v>הכוח הנשי - 2 כר'</v>
      </c>
    </row>
    <row r="459" spans="1:5" x14ac:dyDescent="0.2">
      <c r="A459" t="s">
        <v>875</v>
      </c>
      <c r="B459" t="s">
        <v>479</v>
      </c>
      <c r="C459" t="s">
        <v>76</v>
      </c>
      <c r="D459" t="s">
        <v>19</v>
      </c>
      <c r="E459" s="3" t="str">
        <f>HYPERLINK("http://www.otzar.org/book.asp?27862","הכל בהשגחה פרטית")</f>
        <v>הכל בהשגחה פרטית</v>
      </c>
    </row>
    <row r="460" spans="1:5" x14ac:dyDescent="0.2">
      <c r="A460" t="s">
        <v>876</v>
      </c>
      <c r="B460" t="s">
        <v>30</v>
      </c>
      <c r="C460" t="s">
        <v>76</v>
      </c>
      <c r="D460" t="s">
        <v>877</v>
      </c>
      <c r="E460" s="3" t="str">
        <f>HYPERLINK("http://www.otzar.org/book.asp?607998","הכל בכתב עלי השכיל")</f>
        <v>הכל בכתב עלי השכיל</v>
      </c>
    </row>
    <row r="461" spans="1:5" x14ac:dyDescent="0.2">
      <c r="A461" t="s">
        <v>878</v>
      </c>
      <c r="B461" t="s">
        <v>207</v>
      </c>
      <c r="C461" t="s">
        <v>67</v>
      </c>
      <c r="D461" t="s">
        <v>8</v>
      </c>
      <c r="E461" s="3" t="str">
        <f>HYPERLINK("http://www.otzar.org/book.asp?27651","הכנה רבה")</f>
        <v>הכנה רבה</v>
      </c>
    </row>
    <row r="462" spans="1:5" x14ac:dyDescent="0.2">
      <c r="A462" t="s">
        <v>879</v>
      </c>
      <c r="B462" t="s">
        <v>33</v>
      </c>
      <c r="C462" t="s">
        <v>54</v>
      </c>
      <c r="D462" t="s">
        <v>12</v>
      </c>
      <c r="E462" s="3" t="str">
        <f>HYPERLINK("http://www.otzar.org/book.asp?169906","הכנות לברית")</f>
        <v>הכנות לברית</v>
      </c>
    </row>
    <row r="463" spans="1:5" x14ac:dyDescent="0.2">
      <c r="A463" t="s">
        <v>880</v>
      </c>
      <c r="B463" t="s">
        <v>881</v>
      </c>
      <c r="C463" t="s">
        <v>350</v>
      </c>
      <c r="D463" t="s">
        <v>12</v>
      </c>
      <c r="E463" s="3" t="str">
        <f>HYPERLINK("http://www.otzar.org/book.asp?607850","הכפר של הרבי")</f>
        <v>הכפר של הרבי</v>
      </c>
    </row>
    <row r="464" spans="1:5" x14ac:dyDescent="0.2">
      <c r="A464" t="s">
        <v>882</v>
      </c>
      <c r="B464" t="s">
        <v>883</v>
      </c>
      <c r="C464" t="s">
        <v>165</v>
      </c>
      <c r="D464" t="s">
        <v>12</v>
      </c>
      <c r="E464" s="3" t="str">
        <f>HYPERLINK("http://www.otzar.org/book.asp?27216","הלב של צפת")</f>
        <v>הלב של צפת</v>
      </c>
    </row>
    <row r="465" spans="1:5" x14ac:dyDescent="0.2">
      <c r="A465" t="s">
        <v>884</v>
      </c>
      <c r="B465" t="s">
        <v>885</v>
      </c>
      <c r="C465" t="s">
        <v>707</v>
      </c>
      <c r="D465" t="s">
        <v>886</v>
      </c>
      <c r="E465" s="3" t="str">
        <f>HYPERLINK("http://www.otzar.org/book.asp?102987","הלולא דצדקיא")</f>
        <v>הלולא דצדקיא</v>
      </c>
    </row>
    <row r="466" spans="1:5" x14ac:dyDescent="0.2">
      <c r="A466" t="s">
        <v>887</v>
      </c>
      <c r="B466" t="s">
        <v>888</v>
      </c>
      <c r="C466" t="s">
        <v>350</v>
      </c>
      <c r="D466" t="s">
        <v>40</v>
      </c>
      <c r="E466" s="3" t="str">
        <f>HYPERLINK("http://www.otzar.org/book.asp?605194","הלולא רבא &lt;מהדורה חדשה&gt;")</f>
        <v>הלולא רבא &lt;מהדורה חדשה&gt;</v>
      </c>
    </row>
    <row r="467" spans="1:5" x14ac:dyDescent="0.2">
      <c r="A467" t="s">
        <v>889</v>
      </c>
      <c r="B467" t="s">
        <v>890</v>
      </c>
      <c r="C467" t="s">
        <v>165</v>
      </c>
      <c r="D467" t="s">
        <v>40</v>
      </c>
      <c r="E467" s="3" t="str">
        <f>HYPERLINK("http://www.otzar.org/book.asp?141351","הלכה ברורה")</f>
        <v>הלכה ברורה</v>
      </c>
    </row>
    <row r="468" spans="1:5" x14ac:dyDescent="0.2">
      <c r="A468" t="s">
        <v>891</v>
      </c>
      <c r="B468" t="s">
        <v>194</v>
      </c>
      <c r="C468" t="s">
        <v>73</v>
      </c>
      <c r="D468" t="s">
        <v>12</v>
      </c>
      <c r="E468" s="3" t="str">
        <f>HYPERLINK("http://www.otzar.org/book.asp?600290","הלכה יומית")</f>
        <v>הלכה יומית</v>
      </c>
    </row>
    <row r="469" spans="1:5" x14ac:dyDescent="0.2">
      <c r="A469" t="s">
        <v>892</v>
      </c>
      <c r="B469" t="s">
        <v>893</v>
      </c>
      <c r="C469" t="s">
        <v>142</v>
      </c>
      <c r="D469" t="s">
        <v>12</v>
      </c>
      <c r="E469" s="3" t="str">
        <f>HYPERLINK("http://www.otzar.org/book.asp?623835","הלכה למעשה - א")</f>
        <v>הלכה למעשה - א</v>
      </c>
    </row>
    <row r="470" spans="1:5" x14ac:dyDescent="0.2">
      <c r="A470" t="s">
        <v>894</v>
      </c>
      <c r="B470" t="s">
        <v>895</v>
      </c>
      <c r="C470" t="s">
        <v>142</v>
      </c>
      <c r="D470" t="s">
        <v>19</v>
      </c>
      <c r="E470" s="3" t="str">
        <f>HYPERLINK("http://www.otzar.org/book.asp?616787","הלכה למעשה - 3 כר'")</f>
        <v>הלכה למעשה - 3 כר'</v>
      </c>
    </row>
    <row r="471" spans="1:5" x14ac:dyDescent="0.2">
      <c r="A471" t="s">
        <v>896</v>
      </c>
      <c r="B471" t="s">
        <v>17</v>
      </c>
      <c r="C471" t="s">
        <v>39</v>
      </c>
      <c r="D471" t="s">
        <v>8</v>
      </c>
      <c r="E471" s="3" t="str">
        <f>HYPERLINK("http://www.otzar.org/book.asp?140811","הלכות אמירה לנכרי")</f>
        <v>הלכות אמירה לנכרי</v>
      </c>
    </row>
    <row r="472" spans="1:5" x14ac:dyDescent="0.2">
      <c r="A472" t="s">
        <v>897</v>
      </c>
      <c r="B472" t="s">
        <v>30</v>
      </c>
      <c r="C472" t="s">
        <v>67</v>
      </c>
      <c r="D472" t="s">
        <v>8</v>
      </c>
      <c r="E472" s="3" t="str">
        <f>HYPERLINK("http://www.otzar.org/book.asp?27229","הלכות בית הבחירה להרמב""ם עם חידושים וביאורים")</f>
        <v>הלכות בית הבחירה להרמב"ם עם חידושים וביאורים</v>
      </c>
    </row>
    <row r="473" spans="1:5" x14ac:dyDescent="0.2">
      <c r="A473" t="s">
        <v>898</v>
      </c>
      <c r="B473" t="s">
        <v>899</v>
      </c>
      <c r="C473" t="s">
        <v>22</v>
      </c>
      <c r="D473" t="s">
        <v>8</v>
      </c>
      <c r="E473" s="3" t="str">
        <f>HYPERLINK("http://www.otzar.org/book.asp?23889","הלכות בית הבחירה להרמב""ם עם פירוש עץ יוסף")</f>
        <v>הלכות בית הבחירה להרמב"ם עם פירוש עץ יוסף</v>
      </c>
    </row>
    <row r="474" spans="1:5" x14ac:dyDescent="0.2">
      <c r="A474" t="s">
        <v>900</v>
      </c>
      <c r="B474" t="s">
        <v>901</v>
      </c>
      <c r="C474" t="s">
        <v>67</v>
      </c>
      <c r="D474" t="s">
        <v>12</v>
      </c>
      <c r="E474" s="3" t="str">
        <f>HYPERLINK("http://www.otzar.org/book.asp?140949","הלכות והליכות ההנהגה בחיי היום יום")</f>
        <v>הלכות והליכות ההנהגה בחיי היום יום</v>
      </c>
    </row>
    <row r="475" spans="1:5" x14ac:dyDescent="0.2">
      <c r="A475" t="s">
        <v>902</v>
      </c>
      <c r="B475" t="s">
        <v>903</v>
      </c>
      <c r="C475" t="s">
        <v>15</v>
      </c>
      <c r="D475" t="s">
        <v>12</v>
      </c>
      <c r="E475" s="3" t="str">
        <f>HYPERLINK("http://www.otzar.org/book.asp?189066","הלכות ומנהגי חב""ד")</f>
        <v>הלכות ומנהגי חב"ד</v>
      </c>
    </row>
    <row r="476" spans="1:5" x14ac:dyDescent="0.2">
      <c r="A476" t="s">
        <v>904</v>
      </c>
      <c r="B476" t="s">
        <v>17</v>
      </c>
      <c r="C476" t="s">
        <v>15</v>
      </c>
      <c r="D476" t="s">
        <v>8</v>
      </c>
      <c r="E476" s="3" t="str">
        <f>HYPERLINK("http://www.otzar.org/book.asp?607668","הלכות חג השבועות משו""ע אדמוה""ז")</f>
        <v>הלכות חג השבועות משו"ע אדמוה"ז</v>
      </c>
    </row>
    <row r="477" spans="1:5" x14ac:dyDescent="0.2">
      <c r="A477" t="s">
        <v>905</v>
      </c>
      <c r="B477" t="s">
        <v>906</v>
      </c>
      <c r="C477" t="s">
        <v>142</v>
      </c>
      <c r="D477" t="s">
        <v>12</v>
      </c>
      <c r="E477" s="3" t="str">
        <f>HYPERLINK("http://www.otzar.org/book.asp?613924","הלכות חנוכה עם טעמים ועיונים")</f>
        <v>הלכות חנוכה עם טעמים ועיונים</v>
      </c>
    </row>
    <row r="478" spans="1:5" x14ac:dyDescent="0.2">
      <c r="A478" t="s">
        <v>907</v>
      </c>
      <c r="B478" t="s">
        <v>908</v>
      </c>
      <c r="C478" t="s">
        <v>165</v>
      </c>
      <c r="D478" t="s">
        <v>8</v>
      </c>
      <c r="E478" s="3" t="str">
        <f>HYPERLINK("http://www.otzar.org/book.asp?173340","הלכות ליל הסדר - 2 כר'")</f>
        <v>הלכות ליל הסדר - 2 כר'</v>
      </c>
    </row>
    <row r="479" spans="1:5" x14ac:dyDescent="0.2">
      <c r="A479" t="s">
        <v>909</v>
      </c>
      <c r="B479" t="s">
        <v>910</v>
      </c>
      <c r="C479" t="s">
        <v>52</v>
      </c>
      <c r="D479" t="s">
        <v>332</v>
      </c>
      <c r="E479" s="3" t="str">
        <f>HYPERLINK("http://www.otzar.org/book.asp?145649","הלכות לשון הרע מתוך שלחן ערוך הרב")</f>
        <v>הלכות לשון הרע מתוך שלחן ערוך הרב</v>
      </c>
    </row>
    <row r="480" spans="1:5" x14ac:dyDescent="0.2">
      <c r="A480" t="s">
        <v>911</v>
      </c>
      <c r="B480" t="s">
        <v>17</v>
      </c>
      <c r="C480" t="s">
        <v>82</v>
      </c>
      <c r="D480" t="s">
        <v>208</v>
      </c>
      <c r="E480" s="3" t="str">
        <f>HYPERLINK("http://www.otzar.org/book.asp?607794","הלכות ספירת העומר מש""ע אדמוה""ז")</f>
        <v>הלכות ספירת העומר מש"ע אדמוה"ז</v>
      </c>
    </row>
    <row r="481" spans="1:5" x14ac:dyDescent="0.2">
      <c r="A481" t="s">
        <v>912</v>
      </c>
      <c r="B481" t="s">
        <v>17</v>
      </c>
      <c r="C481" t="s">
        <v>142</v>
      </c>
      <c r="D481" t="s">
        <v>208</v>
      </c>
      <c r="E481" s="3" t="str">
        <f>HYPERLINK("http://www.otzar.org/book.asp?615056","הלכות פסח מש""ע אדמוה""ז")</f>
        <v>הלכות פסח מש"ע אדמוה"ז</v>
      </c>
    </row>
    <row r="482" spans="1:5" x14ac:dyDescent="0.2">
      <c r="A482" t="s">
        <v>913</v>
      </c>
      <c r="B482" t="s">
        <v>914</v>
      </c>
      <c r="C482" t="s">
        <v>86</v>
      </c>
      <c r="D482" t="s">
        <v>166</v>
      </c>
      <c r="E482" s="3" t="str">
        <f>HYPERLINK("http://www.otzar.org/book.asp?145769","הלכות קריאת התורה")</f>
        <v>הלכות קריאת התורה</v>
      </c>
    </row>
    <row r="483" spans="1:5" x14ac:dyDescent="0.2">
      <c r="A483" t="s">
        <v>915</v>
      </c>
      <c r="B483" t="s">
        <v>916</v>
      </c>
      <c r="C483" t="s">
        <v>161</v>
      </c>
      <c r="D483" t="s">
        <v>8</v>
      </c>
      <c r="E483" s="3" t="str">
        <f>HYPERLINK("http://www.otzar.org/book.asp?27158","הלכות שחיטה משו""ע אדמו""ר הזקן עם ביאורי הלכות")</f>
        <v>הלכות שחיטה משו"ע אדמו"ר הזקן עם ביאורי הלכות</v>
      </c>
    </row>
    <row r="484" spans="1:5" x14ac:dyDescent="0.2">
      <c r="A484" t="s">
        <v>917</v>
      </c>
      <c r="B484" t="s">
        <v>918</v>
      </c>
      <c r="C484" t="s">
        <v>327</v>
      </c>
      <c r="D484" t="s">
        <v>8</v>
      </c>
      <c r="E484" s="3" t="str">
        <f>HYPERLINK("http://www.otzar.org/book.asp?27035","הלכות תלמוד תורה משו""ע אדמו""ר הזקן - 6 כר'")</f>
        <v>הלכות תלמוד תורה משו"ע אדמו"ר הזקן - 6 כר'</v>
      </c>
    </row>
    <row r="485" spans="1:5" x14ac:dyDescent="0.2">
      <c r="A485" t="s">
        <v>919</v>
      </c>
      <c r="B485" t="s">
        <v>30</v>
      </c>
      <c r="C485" t="s">
        <v>15</v>
      </c>
      <c r="D485" t="s">
        <v>8</v>
      </c>
      <c r="E485" s="3" t="str">
        <f>HYPERLINK("http://www.otzar.org/book.asp?189071","הלכות תשובה להרמב""ם עם חידושים וביאורים")</f>
        <v>הלכות תשובה להרמב"ם עם חידושים וביאורים</v>
      </c>
    </row>
    <row r="486" spans="1:5" x14ac:dyDescent="0.2">
      <c r="A486" t="s">
        <v>920</v>
      </c>
      <c r="B486" t="s">
        <v>921</v>
      </c>
      <c r="C486" t="s">
        <v>148</v>
      </c>
      <c r="D486" t="s">
        <v>12</v>
      </c>
      <c r="E486" s="3" t="str">
        <f>HYPERLINK("http://www.otzar.org/book.asp?27105","הלכתא כרב")</f>
        <v>הלכתא כרב</v>
      </c>
    </row>
    <row r="487" spans="1:5" x14ac:dyDescent="0.2">
      <c r="A487" t="s">
        <v>920</v>
      </c>
      <c r="B487" t="s">
        <v>922</v>
      </c>
      <c r="C487" t="s">
        <v>76</v>
      </c>
      <c r="E487" s="3" t="str">
        <f>HYPERLINK("http://www.otzar.org/book.asp?197861","הלכתא כרב")</f>
        <v>הלכתא כרב</v>
      </c>
    </row>
    <row r="488" spans="1:5" x14ac:dyDescent="0.2">
      <c r="A488" t="s">
        <v>923</v>
      </c>
      <c r="B488" t="s">
        <v>924</v>
      </c>
      <c r="C488" t="s">
        <v>31</v>
      </c>
      <c r="D488" t="s">
        <v>8</v>
      </c>
      <c r="E488" s="3" t="str">
        <f>HYPERLINK("http://www.otzar.org/book.asp?141618","הלכתא למשיחא")</f>
        <v>הלכתא למשיחא</v>
      </c>
    </row>
    <row r="489" spans="1:5" x14ac:dyDescent="0.2">
      <c r="A489" t="s">
        <v>925</v>
      </c>
      <c r="B489" t="s">
        <v>926</v>
      </c>
      <c r="C489" t="s">
        <v>82</v>
      </c>
      <c r="D489" t="s">
        <v>12</v>
      </c>
      <c r="E489" s="3" t="str">
        <f>HYPERLINK("http://www.otzar.org/book.asp?196252","הלקח והלבוב &lt;מהדורה חדשה&gt; - 2 כר'")</f>
        <v>הלקח והלבוב &lt;מהדורה חדשה&gt; - 2 כר'</v>
      </c>
    </row>
    <row r="490" spans="1:5" x14ac:dyDescent="0.2">
      <c r="A490" t="s">
        <v>927</v>
      </c>
      <c r="B490" t="s">
        <v>926</v>
      </c>
      <c r="C490" t="s">
        <v>928</v>
      </c>
      <c r="D490" t="s">
        <v>12</v>
      </c>
      <c r="E490" s="3" t="str">
        <f>HYPERLINK("http://www.otzar.org/book.asp?141356","הלקח והלבוב - 2 כר'")</f>
        <v>הלקח והלבוב - 2 כר'</v>
      </c>
    </row>
    <row r="491" spans="1:5" x14ac:dyDescent="0.2">
      <c r="A491" t="s">
        <v>929</v>
      </c>
      <c r="B491" t="s">
        <v>930</v>
      </c>
      <c r="C491" t="s">
        <v>86</v>
      </c>
      <c r="D491" t="s">
        <v>332</v>
      </c>
      <c r="E491" s="3" t="str">
        <f>HYPERLINK("http://www.otzar.org/book.asp?142724","המאבק והנצחון")</f>
        <v>המאבק והנצחון</v>
      </c>
    </row>
    <row r="492" spans="1:5" x14ac:dyDescent="0.2">
      <c r="A492" t="s">
        <v>931</v>
      </c>
      <c r="B492" t="s">
        <v>30</v>
      </c>
      <c r="C492" t="s">
        <v>44</v>
      </c>
      <c r="D492" t="s">
        <v>40</v>
      </c>
      <c r="E492" s="3" t="str">
        <f>HYPERLINK("http://www.otzar.org/book.asp?173505","המאור שבתורה - 5 כר'")</f>
        <v>המאור שבתורה - 5 כר'</v>
      </c>
    </row>
    <row r="493" spans="1:5" x14ac:dyDescent="0.2">
      <c r="A493" t="s">
        <v>932</v>
      </c>
      <c r="B493" t="s">
        <v>108</v>
      </c>
      <c r="C493" t="s">
        <v>119</v>
      </c>
      <c r="D493" t="s">
        <v>8</v>
      </c>
      <c r="E493" s="3" t="str">
        <f>HYPERLINK("http://www.otzar.org/book.asp?27273","המאיר - א")</f>
        <v>המאיר - א</v>
      </c>
    </row>
    <row r="494" spans="1:5" x14ac:dyDescent="0.2">
      <c r="A494" t="s">
        <v>933</v>
      </c>
      <c r="B494" t="s">
        <v>934</v>
      </c>
      <c r="C494" t="s">
        <v>191</v>
      </c>
      <c r="D494" t="s">
        <v>12</v>
      </c>
      <c r="E494" s="3" t="str">
        <f>HYPERLINK("http://www.otzar.org/book.asp?150677","המאירים לארץ")</f>
        <v>המאירים לארץ</v>
      </c>
    </row>
    <row r="495" spans="1:5" x14ac:dyDescent="0.2">
      <c r="A495" t="s">
        <v>935</v>
      </c>
      <c r="B495" t="s">
        <v>105</v>
      </c>
      <c r="C495" t="s">
        <v>76</v>
      </c>
      <c r="D495" t="s">
        <v>19</v>
      </c>
      <c r="E495" s="3" t="str">
        <f>HYPERLINK("http://www.otzar.org/book.asp?146217","המאסר והגאולה")</f>
        <v>המאסר והגאולה</v>
      </c>
    </row>
    <row r="496" spans="1:5" x14ac:dyDescent="0.2">
      <c r="A496" t="s">
        <v>936</v>
      </c>
      <c r="B496" t="s">
        <v>937</v>
      </c>
      <c r="C496" t="s">
        <v>73</v>
      </c>
      <c r="D496" t="s">
        <v>181</v>
      </c>
      <c r="E496" s="3" t="str">
        <f>HYPERLINK("http://www.otzar.org/book.asp?193135","המבוא לספרי הרמב""ם")</f>
        <v>המבוא לספרי הרמב"ם</v>
      </c>
    </row>
    <row r="497" spans="1:5" x14ac:dyDescent="0.2">
      <c r="A497" t="s">
        <v>938</v>
      </c>
      <c r="B497" t="s">
        <v>939</v>
      </c>
      <c r="C497" t="s">
        <v>191</v>
      </c>
      <c r="D497" t="s">
        <v>12</v>
      </c>
      <c r="E497" s="3" t="str">
        <f>HYPERLINK("http://www.otzar.org/book.asp?85017","המבצעים כהלכתם - א")</f>
        <v>המבצעים כהלכתם - א</v>
      </c>
    </row>
    <row r="498" spans="1:5" x14ac:dyDescent="0.2">
      <c r="A498" t="s">
        <v>940</v>
      </c>
      <c r="B498" t="s">
        <v>24</v>
      </c>
      <c r="C498" t="s">
        <v>52</v>
      </c>
      <c r="D498" t="s">
        <v>332</v>
      </c>
      <c r="E498" s="3" t="str">
        <f>HYPERLINK("http://www.otzar.org/book.asp?144939","המדריך לעבודת ה' - תניא הקצר")</f>
        <v>המדריך לעבודת ה' - תניא הקצר</v>
      </c>
    </row>
    <row r="499" spans="1:5" x14ac:dyDescent="0.2">
      <c r="A499" t="s">
        <v>941</v>
      </c>
      <c r="B499" t="s">
        <v>33</v>
      </c>
      <c r="C499" t="s">
        <v>142</v>
      </c>
      <c r="D499" t="s">
        <v>380</v>
      </c>
      <c r="E499" s="3" t="str">
        <f>HYPERLINK("http://www.otzar.org/book.asp?610038","המהפכה הצרפתית בתשרי אצל הרבי")</f>
        <v>המהפכה הצרפתית בתשרי אצל הרבי</v>
      </c>
    </row>
    <row r="500" spans="1:5" x14ac:dyDescent="0.2">
      <c r="A500" t="s">
        <v>942</v>
      </c>
      <c r="B500" t="s">
        <v>280</v>
      </c>
      <c r="C500" t="s">
        <v>82</v>
      </c>
      <c r="E500" s="3" t="str">
        <f>HYPERLINK("http://www.otzar.org/book.asp?607966","המהפכה")</f>
        <v>המהפכה</v>
      </c>
    </row>
    <row r="501" spans="1:5" x14ac:dyDescent="0.2">
      <c r="A501" t="s">
        <v>943</v>
      </c>
      <c r="B501" t="s">
        <v>75</v>
      </c>
      <c r="C501" t="s">
        <v>44</v>
      </c>
      <c r="D501" t="s">
        <v>40</v>
      </c>
      <c r="E501" s="3" t="str">
        <f>HYPERLINK("http://www.otzar.org/book.asp?173501","המועדים בחסידות")</f>
        <v>המועדים בחסידות</v>
      </c>
    </row>
    <row r="502" spans="1:5" x14ac:dyDescent="0.2">
      <c r="A502" t="s">
        <v>944</v>
      </c>
      <c r="B502" t="s">
        <v>944</v>
      </c>
      <c r="C502" t="s">
        <v>327</v>
      </c>
      <c r="D502" t="s">
        <v>12</v>
      </c>
      <c r="E502" s="3" t="str">
        <f>HYPERLINK("http://www.otzar.org/book.asp?142748","המחנך והחינוך")</f>
        <v>המחנך והחינוך</v>
      </c>
    </row>
    <row r="503" spans="1:5" x14ac:dyDescent="0.2">
      <c r="A503" t="s">
        <v>945</v>
      </c>
      <c r="B503" t="s">
        <v>30</v>
      </c>
      <c r="C503" t="s">
        <v>82</v>
      </c>
      <c r="D503" t="s">
        <v>19</v>
      </c>
      <c r="E503" s="3" t="str">
        <f>HYPERLINK("http://www.otzar.org/book.asp?197863","המחשבה בהלכה")</f>
        <v>המחשבה בהלכה</v>
      </c>
    </row>
    <row r="504" spans="1:5" x14ac:dyDescent="0.2">
      <c r="A504" t="s">
        <v>946</v>
      </c>
      <c r="B504" t="s">
        <v>30</v>
      </c>
      <c r="C504" t="s">
        <v>477</v>
      </c>
      <c r="D504" t="s">
        <v>240</v>
      </c>
      <c r="E504" s="3" t="str">
        <f>HYPERLINK("http://www.otzar.org/book.asp?28803","המלך במסיבו - 2 כר'")</f>
        <v>המלך במסיבו - 2 כר'</v>
      </c>
    </row>
    <row r="505" spans="1:5" x14ac:dyDescent="0.2">
      <c r="A505" t="s">
        <v>947</v>
      </c>
      <c r="B505" t="s">
        <v>108</v>
      </c>
      <c r="C505" t="s">
        <v>65</v>
      </c>
      <c r="D505" t="s">
        <v>40</v>
      </c>
      <c r="E505" s="3" t="str">
        <f>HYPERLINK("http://www.otzar.org/book.asp?27274","המלך ברמה")</f>
        <v>המלך ברמה</v>
      </c>
    </row>
    <row r="506" spans="1:5" x14ac:dyDescent="0.2">
      <c r="A506" t="s">
        <v>948</v>
      </c>
      <c r="B506" t="s">
        <v>145</v>
      </c>
      <c r="C506" t="s">
        <v>11</v>
      </c>
      <c r="D506" t="s">
        <v>12</v>
      </c>
      <c r="E506" s="3" t="str">
        <f>HYPERLINK("http://www.otzar.org/book.asp?614764","המסע האחרון")</f>
        <v>המסע האחרון</v>
      </c>
    </row>
    <row r="507" spans="1:5" x14ac:dyDescent="0.2">
      <c r="A507" t="s">
        <v>949</v>
      </c>
      <c r="B507" t="s">
        <v>479</v>
      </c>
      <c r="C507" t="s">
        <v>350</v>
      </c>
      <c r="D507" t="s">
        <v>12</v>
      </c>
      <c r="E507" s="3" t="str">
        <f>HYPERLINK("http://www.otzar.org/book.asp?607854","המסע להאדיטש")</f>
        <v>המסע להאדיטש</v>
      </c>
    </row>
    <row r="508" spans="1:5" x14ac:dyDescent="0.2">
      <c r="A508" t="s">
        <v>950</v>
      </c>
      <c r="B508" t="s">
        <v>24</v>
      </c>
      <c r="C508" t="s">
        <v>73</v>
      </c>
      <c r="D508" t="s">
        <v>40</v>
      </c>
      <c r="E508" s="3" t="str">
        <f>HYPERLINK("http://www.otzar.org/book.asp?181496","המעיינות - אדמו""ר הזקן")</f>
        <v>המעיינות - אדמו"ר הזקן</v>
      </c>
    </row>
    <row r="509" spans="1:5" x14ac:dyDescent="0.2">
      <c r="A509" t="s">
        <v>951</v>
      </c>
      <c r="B509" t="s">
        <v>43</v>
      </c>
      <c r="C509" t="s">
        <v>73</v>
      </c>
      <c r="D509" t="s">
        <v>40</v>
      </c>
      <c r="E509" s="3" t="str">
        <f>HYPERLINK("http://www.otzar.org/book.asp?181488","המעיינות - אדמו""ר האמצעי")</f>
        <v>המעיינות - אדמו"ר האמצעי</v>
      </c>
    </row>
    <row r="510" spans="1:5" x14ac:dyDescent="0.2">
      <c r="A510" t="s">
        <v>952</v>
      </c>
      <c r="B510" t="s">
        <v>64</v>
      </c>
      <c r="C510" t="s">
        <v>73</v>
      </c>
      <c r="D510" t="s">
        <v>40</v>
      </c>
      <c r="E510" s="3" t="str">
        <f>HYPERLINK("http://www.otzar.org/book.asp?181489","המעיינות - אדמו""ר הרש""ב")</f>
        <v>המעיינות - אדמו"ר הרש"ב</v>
      </c>
    </row>
    <row r="511" spans="1:5" x14ac:dyDescent="0.2">
      <c r="A511" t="s">
        <v>953</v>
      </c>
      <c r="B511" t="s">
        <v>954</v>
      </c>
      <c r="C511" t="s">
        <v>119</v>
      </c>
      <c r="D511" t="s">
        <v>8</v>
      </c>
      <c r="E511" s="3" t="str">
        <f>HYPERLINK("http://www.otzar.org/book.asp?26482","המפתח לעולם החינוך - 2 כר'")</f>
        <v>המפתח לעולם החינוך - 2 כר'</v>
      </c>
    </row>
    <row r="512" spans="1:5" x14ac:dyDescent="0.2">
      <c r="A512" t="s">
        <v>955</v>
      </c>
      <c r="B512" t="s">
        <v>956</v>
      </c>
      <c r="C512" t="s">
        <v>477</v>
      </c>
      <c r="D512" t="s">
        <v>8</v>
      </c>
      <c r="E512" s="3" t="str">
        <f>HYPERLINK("http://www.otzar.org/book.asp?27107","המשיח")</f>
        <v>המשיח</v>
      </c>
    </row>
    <row r="513" spans="1:5" x14ac:dyDescent="0.2">
      <c r="A513" t="s">
        <v>957</v>
      </c>
      <c r="B513" t="s">
        <v>958</v>
      </c>
      <c r="C513" t="s">
        <v>76</v>
      </c>
      <c r="D513" t="s">
        <v>12</v>
      </c>
      <c r="E513" s="3" t="str">
        <f>HYPERLINK("http://www.otzar.org/book.asp?143363","המשפט הגדול - ב")</f>
        <v>המשפט הגדול - ב</v>
      </c>
    </row>
    <row r="514" spans="1:5" x14ac:dyDescent="0.2">
      <c r="A514" t="s">
        <v>959</v>
      </c>
      <c r="B514" t="s">
        <v>370</v>
      </c>
      <c r="C514" t="s">
        <v>44</v>
      </c>
      <c r="D514" t="s">
        <v>12</v>
      </c>
      <c r="E514" s="3" t="str">
        <f>HYPERLINK("http://www.otzar.org/book.asp?175918","המשפיע ר' שלמה חיים קסלמן - 2 כר'")</f>
        <v>המשפיע ר' שלמה חיים קסלמן - 2 כר'</v>
      </c>
    </row>
    <row r="515" spans="1:5" x14ac:dyDescent="0.2">
      <c r="A515" t="s">
        <v>960</v>
      </c>
      <c r="B515" t="s">
        <v>348</v>
      </c>
      <c r="C515" t="s">
        <v>11</v>
      </c>
      <c r="D515" t="s">
        <v>8</v>
      </c>
      <c r="E515" s="3" t="str">
        <f>HYPERLINK("http://www.otzar.org/book.asp?162751","המשפיע שלא חזר")</f>
        <v>המשפיע שלא חזר</v>
      </c>
    </row>
    <row r="516" spans="1:5" x14ac:dyDescent="0.2">
      <c r="A516" t="s">
        <v>961</v>
      </c>
      <c r="B516" t="s">
        <v>962</v>
      </c>
      <c r="C516" t="s">
        <v>183</v>
      </c>
      <c r="D516" t="s">
        <v>12</v>
      </c>
      <c r="E516" s="3" t="str">
        <f>HYPERLINK("http://www.otzar.org/book.asp?27124","המשפיע")</f>
        <v>המשפיע</v>
      </c>
    </row>
    <row r="517" spans="1:5" x14ac:dyDescent="0.2">
      <c r="A517" t="s">
        <v>961</v>
      </c>
      <c r="B517" t="s">
        <v>963</v>
      </c>
      <c r="C517" t="s">
        <v>60</v>
      </c>
      <c r="D517" t="s">
        <v>40</v>
      </c>
      <c r="E517" s="3" t="str">
        <f>HYPERLINK("http://www.otzar.org/book.asp?143177","המשפיע")</f>
        <v>המשפיע</v>
      </c>
    </row>
    <row r="518" spans="1:5" x14ac:dyDescent="0.2">
      <c r="A518" t="s">
        <v>964</v>
      </c>
      <c r="B518" t="s">
        <v>965</v>
      </c>
      <c r="C518" t="s">
        <v>276</v>
      </c>
      <c r="D518" t="s">
        <v>12</v>
      </c>
      <c r="E518" s="3" t="str">
        <f>HYPERLINK("http://www.otzar.org/book.asp?27109","הנה ימים באים - 2 כר'")</f>
        <v>הנה ימים באים - 2 כר'</v>
      </c>
    </row>
    <row r="519" spans="1:5" x14ac:dyDescent="0.2">
      <c r="A519" t="s">
        <v>966</v>
      </c>
      <c r="B519" t="s">
        <v>967</v>
      </c>
      <c r="C519" t="s">
        <v>18</v>
      </c>
      <c r="D519" t="s">
        <v>166</v>
      </c>
      <c r="E519" s="3" t="str">
        <f>HYPERLINK("http://www.otzar.org/book.asp?140920","הנהגה חסידית")</f>
        <v>הנהגה חסידית</v>
      </c>
    </row>
    <row r="520" spans="1:5" x14ac:dyDescent="0.2">
      <c r="A520" t="s">
        <v>968</v>
      </c>
      <c r="B520" t="s">
        <v>969</v>
      </c>
      <c r="C520" t="s">
        <v>52</v>
      </c>
      <c r="D520" t="s">
        <v>240</v>
      </c>
      <c r="E520" s="3" t="str">
        <f>HYPERLINK("http://www.otzar.org/book.asp?27547","הנהגות חסידיות")</f>
        <v>הנהגות חסידיות</v>
      </c>
    </row>
    <row r="521" spans="1:5" x14ac:dyDescent="0.2">
      <c r="A521" t="s">
        <v>970</v>
      </c>
      <c r="B521" t="s">
        <v>971</v>
      </c>
      <c r="C521" t="s">
        <v>67</v>
      </c>
      <c r="D521" t="s">
        <v>972</v>
      </c>
      <c r="E521" s="3" t="str">
        <f>HYPERLINK("http://www.otzar.org/book.asp?27089","הנישואין")</f>
        <v>הנישואין</v>
      </c>
    </row>
    <row r="522" spans="1:5" x14ac:dyDescent="0.2">
      <c r="A522" t="s">
        <v>973</v>
      </c>
      <c r="B522" t="s">
        <v>336</v>
      </c>
      <c r="C522" t="s">
        <v>191</v>
      </c>
      <c r="D522" t="s">
        <v>974</v>
      </c>
      <c r="E522" s="3" t="str">
        <f>HYPERLINK("http://www.otzar.org/book.asp?85010","הנסיך השישי בממלכת ליובאוויטש")</f>
        <v>הנסיך השישי בממלכת ליובאוויטש</v>
      </c>
    </row>
    <row r="523" spans="1:5" x14ac:dyDescent="0.2">
      <c r="A523" t="s">
        <v>975</v>
      </c>
      <c r="B523" t="s">
        <v>976</v>
      </c>
      <c r="C523" t="s">
        <v>82</v>
      </c>
      <c r="D523" t="s">
        <v>12</v>
      </c>
      <c r="E523" s="3" t="str">
        <f>HYPERLINK("http://www.otzar.org/book.asp?195706","הנסיך - תולדות ר' מנחם מענדל")</f>
        <v>הנסיך - תולדות ר' מנחם מענדל</v>
      </c>
    </row>
    <row r="524" spans="1:5" x14ac:dyDescent="0.2">
      <c r="A524" t="s">
        <v>977</v>
      </c>
      <c r="B524" t="s">
        <v>978</v>
      </c>
      <c r="C524" t="s">
        <v>142</v>
      </c>
      <c r="D524" t="s">
        <v>315</v>
      </c>
      <c r="E524" s="3" t="str">
        <f>HYPERLINK("http://www.otzar.org/book.asp?613918","הנפש כמשל")</f>
        <v>הנפש כמשל</v>
      </c>
    </row>
    <row r="525" spans="1:5" x14ac:dyDescent="0.2">
      <c r="A525" t="s">
        <v>979</v>
      </c>
      <c r="B525" t="s">
        <v>108</v>
      </c>
      <c r="C525" t="s">
        <v>327</v>
      </c>
      <c r="D525" t="s">
        <v>19</v>
      </c>
      <c r="E525" s="3" t="str">
        <f>HYPERLINK("http://www.otzar.org/book.asp?141429","הנקודה החב""דית - 2 כר'")</f>
        <v>הנקודה החב"דית - 2 כר'</v>
      </c>
    </row>
    <row r="526" spans="1:5" x14ac:dyDescent="0.2">
      <c r="A526" t="s">
        <v>980</v>
      </c>
      <c r="B526" t="s">
        <v>981</v>
      </c>
      <c r="C526" t="s">
        <v>11</v>
      </c>
      <c r="D526" t="s">
        <v>12</v>
      </c>
      <c r="E526" s="3" t="str">
        <f>HYPERLINK("http://www.otzar.org/book.asp?164350","הנשמה האלוקית - 2 כר'")</f>
        <v>הנשמה האלוקית - 2 כר'</v>
      </c>
    </row>
    <row r="527" spans="1:5" x14ac:dyDescent="0.2">
      <c r="A527" t="s">
        <v>982</v>
      </c>
      <c r="B527" t="s">
        <v>291</v>
      </c>
      <c r="C527" t="s">
        <v>76</v>
      </c>
      <c r="D527" t="s">
        <v>19</v>
      </c>
      <c r="E527" s="3" t="str">
        <f>HYPERLINK("http://www.otzar.org/book.asp?141577","הנשר הגדול")</f>
        <v>הנשר הגדול</v>
      </c>
    </row>
    <row r="528" spans="1:5" x14ac:dyDescent="0.2">
      <c r="A528" t="s">
        <v>983</v>
      </c>
      <c r="B528" t="s">
        <v>984</v>
      </c>
      <c r="C528" t="s">
        <v>76</v>
      </c>
      <c r="D528" t="s">
        <v>19</v>
      </c>
      <c r="E528" s="3" t="str">
        <f>HYPERLINK("http://www.otzar.org/book.asp?143357","הסבא רבי דוד ע""ה צלקשוילי")</f>
        <v>הסבא רבי דוד ע"ה צלקשוילי</v>
      </c>
    </row>
    <row r="529" spans="1:5" x14ac:dyDescent="0.2">
      <c r="A529" t="s">
        <v>985</v>
      </c>
      <c r="B529" t="s">
        <v>986</v>
      </c>
      <c r="C529" t="s">
        <v>350</v>
      </c>
      <c r="D529" t="s">
        <v>12</v>
      </c>
      <c r="E529" s="3" t="str">
        <f>HYPERLINK("http://www.otzar.org/book.asp?608418","הסבא - הרב אפרים צבי הכהן לרר ע""ה")</f>
        <v>הסבא - הרב אפרים צבי הכהן לרר ע"ה</v>
      </c>
    </row>
    <row r="530" spans="1:5" x14ac:dyDescent="0.2">
      <c r="A530" t="s">
        <v>987</v>
      </c>
      <c r="B530" t="s">
        <v>988</v>
      </c>
      <c r="C530" t="s">
        <v>44</v>
      </c>
      <c r="D530" t="s">
        <v>12</v>
      </c>
      <c r="E530" s="3" t="str">
        <f>HYPERLINK("http://www.otzar.org/book.asp?173494","הספסל מספר - א")</f>
        <v>הספסל מספר - א</v>
      </c>
    </row>
    <row r="531" spans="1:5" x14ac:dyDescent="0.2">
      <c r="A531" t="s">
        <v>989</v>
      </c>
      <c r="B531" t="s">
        <v>566</v>
      </c>
      <c r="C531" t="s">
        <v>52</v>
      </c>
      <c r="D531" t="s">
        <v>579</v>
      </c>
      <c r="E531" s="3" t="str">
        <f>HYPERLINK("http://www.otzar.org/book.asp?26954","הספר בהלכה")</f>
        <v>הספר בהלכה</v>
      </c>
    </row>
    <row r="532" spans="1:5" x14ac:dyDescent="0.2">
      <c r="A532" t="s">
        <v>990</v>
      </c>
      <c r="C532" t="s">
        <v>73</v>
      </c>
      <c r="D532" t="s">
        <v>8</v>
      </c>
      <c r="E532" s="3" t="str">
        <f>HYPERLINK("http://www.otzar.org/book.asp?627075","העילוי דיום ז""ך")</f>
        <v>העילוי דיום ז"ך</v>
      </c>
    </row>
    <row r="533" spans="1:5" x14ac:dyDescent="0.2">
      <c r="A533" t="s">
        <v>991</v>
      </c>
      <c r="B533" t="s">
        <v>992</v>
      </c>
      <c r="C533" t="s">
        <v>448</v>
      </c>
      <c r="D533" t="s">
        <v>40</v>
      </c>
      <c r="E533" s="3" t="str">
        <f>HYPERLINK("http://www.otzar.org/book.asp?145959","הערות בשלחן ערוך אדמו""ר הזקן")</f>
        <v>הערות בשלחן ערוך אדמו"ר הזקן</v>
      </c>
    </row>
    <row r="534" spans="1:5" x14ac:dyDescent="0.2">
      <c r="A534" t="s">
        <v>993</v>
      </c>
      <c r="B534" t="s">
        <v>108</v>
      </c>
      <c r="C534" t="s">
        <v>73</v>
      </c>
      <c r="D534" t="s">
        <v>139</v>
      </c>
      <c r="E534" s="3" t="str">
        <f>HYPERLINK("http://www.otzar.org/book.asp?181098","הערות התמימים (אלעד) - ו")</f>
        <v>הערות התמימים (אלעד) - ו</v>
      </c>
    </row>
    <row r="535" spans="1:5" x14ac:dyDescent="0.2">
      <c r="A535" t="s">
        <v>994</v>
      </c>
      <c r="B535" t="s">
        <v>108</v>
      </c>
      <c r="C535" t="s">
        <v>142</v>
      </c>
      <c r="D535" t="s">
        <v>654</v>
      </c>
      <c r="E535" s="3" t="str">
        <f>HYPERLINK("http://www.otzar.org/book.asp?615045","הערות התמימים (טורונטו) - 4 כר'")</f>
        <v>הערות התמימים (טורונטו) - 4 כר'</v>
      </c>
    </row>
    <row r="536" spans="1:5" x14ac:dyDescent="0.2">
      <c r="A536" t="s">
        <v>995</v>
      </c>
      <c r="B536" t="s">
        <v>108</v>
      </c>
      <c r="C536" t="s">
        <v>34</v>
      </c>
      <c r="D536" t="s">
        <v>8</v>
      </c>
      <c r="E536" s="3" t="str">
        <f>HYPERLINK("http://www.otzar.org/book.asp?157302","הערות התמימים (סטעטן איילנד)")</f>
        <v>הערות התמימים (סטעטן איילנד)</v>
      </c>
    </row>
    <row r="537" spans="1:5" x14ac:dyDescent="0.2">
      <c r="A537" t="s">
        <v>996</v>
      </c>
      <c r="B537" t="s">
        <v>108</v>
      </c>
      <c r="C537" t="s">
        <v>36</v>
      </c>
      <c r="D537" t="s">
        <v>8</v>
      </c>
      <c r="E537" s="3" t="str">
        <f>HYPERLINK("http://www.otzar.org/book.asp?154674","הערות התמימים ואנ""ש - 553 כר'")</f>
        <v>הערות התמימים ואנ"ש - 553 כר'</v>
      </c>
    </row>
    <row r="538" spans="1:5" x14ac:dyDescent="0.2">
      <c r="A538" t="s">
        <v>997</v>
      </c>
      <c r="B538" t="s">
        <v>108</v>
      </c>
      <c r="C538" t="s">
        <v>49</v>
      </c>
      <c r="D538" t="s">
        <v>8</v>
      </c>
      <c r="E538" s="3" t="str">
        <f>HYPERLINK("http://www.otzar.org/book.asp?143896","הערות וביאורים בלקו""ש בנגלה ובחסידות - קיץ תשמ""ד")</f>
        <v>הערות וביאורים בלקו"ש בנגלה ובחסידות - קיץ תשמ"ד</v>
      </c>
    </row>
    <row r="539" spans="1:5" x14ac:dyDescent="0.2">
      <c r="A539" t="s">
        <v>998</v>
      </c>
      <c r="B539" t="s">
        <v>999</v>
      </c>
      <c r="C539" t="s">
        <v>126</v>
      </c>
      <c r="D539" t="s">
        <v>1000</v>
      </c>
      <c r="E539" s="3" t="str">
        <f>HYPERLINK("http://www.otzar.org/book.asp?27590","הערות וביאורים בקונטרס אחרון לשו""ע רבינו הזקן")</f>
        <v>הערות וביאורים בקונטרס אחרון לשו"ע רבינו הזקן</v>
      </c>
    </row>
    <row r="540" spans="1:5" x14ac:dyDescent="0.2">
      <c r="A540" t="s">
        <v>1001</v>
      </c>
      <c r="B540" t="s">
        <v>108</v>
      </c>
      <c r="C540" t="s">
        <v>111</v>
      </c>
      <c r="D540" t="s">
        <v>1002</v>
      </c>
      <c r="E540" s="3" t="str">
        <f>HYPERLINK("http://www.otzar.org/book.asp?146046","הערות וביאורים ברשימות - ג-ה")</f>
        <v>הערות וביאורים ברשימות - ג-ה</v>
      </c>
    </row>
    <row r="541" spans="1:5" x14ac:dyDescent="0.2">
      <c r="A541" t="s">
        <v>1003</v>
      </c>
      <c r="B541" t="s">
        <v>1004</v>
      </c>
      <c r="C541" t="s">
        <v>86</v>
      </c>
      <c r="D541" t="s">
        <v>40</v>
      </c>
      <c r="E541" s="3" t="str">
        <f>HYPERLINK("http://www.otzar.org/book.asp?144969","הערות וביאורים בשו""ע אדמו""ר הזקן - הלכות הטמנה")</f>
        <v>הערות וביאורים בשו"ע אדמו"ר הזקן - הלכות הטמנה</v>
      </c>
    </row>
    <row r="542" spans="1:5" x14ac:dyDescent="0.2">
      <c r="A542" t="s">
        <v>1005</v>
      </c>
      <c r="B542" t="s">
        <v>108</v>
      </c>
      <c r="C542" t="s">
        <v>86</v>
      </c>
      <c r="D542" t="s">
        <v>1006</v>
      </c>
      <c r="E542" s="3" t="str">
        <f>HYPERLINK("http://www.otzar.org/book.asp?142738","הערות וביאורים תמימים ואנ""ש")</f>
        <v>הערות וביאורים תמימים ואנ"ש</v>
      </c>
    </row>
    <row r="543" spans="1:5" x14ac:dyDescent="0.2">
      <c r="A543" t="s">
        <v>1007</v>
      </c>
      <c r="B543" t="s">
        <v>1008</v>
      </c>
      <c r="C543" t="s">
        <v>477</v>
      </c>
      <c r="D543" t="s">
        <v>40</v>
      </c>
      <c r="E543" s="3" t="str">
        <f>HYPERLINK("http://www.otzar.org/book.asp?141257","הערות וביאורים - 9 כר'")</f>
        <v>הערות וביאורים - 9 כר'</v>
      </c>
    </row>
    <row r="544" spans="1:5" x14ac:dyDescent="0.2">
      <c r="A544" t="s">
        <v>1009</v>
      </c>
      <c r="B544" t="s">
        <v>1010</v>
      </c>
      <c r="C544" t="s">
        <v>34</v>
      </c>
      <c r="D544" t="s">
        <v>8</v>
      </c>
      <c r="E544" s="3" t="str">
        <f>HYPERLINK("http://www.otzar.org/book.asp?161353","הערות וביאורים - ספר היובל")</f>
        <v>הערות וביאורים - ספר היובל</v>
      </c>
    </row>
    <row r="545" spans="1:5" x14ac:dyDescent="0.2">
      <c r="A545" t="s">
        <v>1011</v>
      </c>
      <c r="B545" t="s">
        <v>108</v>
      </c>
      <c r="C545" t="s">
        <v>34</v>
      </c>
      <c r="D545" t="s">
        <v>116</v>
      </c>
      <c r="E545" s="3" t="str">
        <f>HYPERLINK("http://www.otzar.org/book.asp?155473","הערות ועיונים &lt;תות""ל קרית גת&gt; - 2 כר'")</f>
        <v>הערות ועיונים &lt;תות"ל קרית גת&gt; - 2 כר'</v>
      </c>
    </row>
    <row r="546" spans="1:5" x14ac:dyDescent="0.2">
      <c r="A546" t="s">
        <v>1012</v>
      </c>
      <c r="B546" t="s">
        <v>108</v>
      </c>
      <c r="C546" t="s">
        <v>65</v>
      </c>
      <c r="D546" t="s">
        <v>8</v>
      </c>
      <c r="E546" s="3" t="str">
        <f>HYPERLINK("http://www.otzar.org/book.asp?146560","הערות ועיונים")</f>
        <v>הערות ועיונים</v>
      </c>
    </row>
    <row r="547" spans="1:5" x14ac:dyDescent="0.2">
      <c r="A547" t="s">
        <v>1013</v>
      </c>
      <c r="B547" t="s">
        <v>1014</v>
      </c>
      <c r="C547" t="s">
        <v>115</v>
      </c>
      <c r="D547" t="s">
        <v>8</v>
      </c>
      <c r="E547" s="3" t="str">
        <f>HYPERLINK("http://www.otzar.org/book.asp?143274","הערות לשו""ע אדמו""ר הזקן הלכות פסח")</f>
        <v>הערות לשו"ע אדמו"ר הזקן הלכות פסח</v>
      </c>
    </row>
    <row r="548" spans="1:5" x14ac:dyDescent="0.2">
      <c r="A548" t="s">
        <v>1015</v>
      </c>
      <c r="B548" t="s">
        <v>1016</v>
      </c>
      <c r="C548" t="s">
        <v>15</v>
      </c>
      <c r="D548" t="s">
        <v>12</v>
      </c>
      <c r="E548" s="3" t="str">
        <f>HYPERLINK("http://www.otzar.org/book.asp?189075","העתיד כאן")</f>
        <v>העתיד כאן</v>
      </c>
    </row>
    <row r="549" spans="1:5" x14ac:dyDescent="0.2">
      <c r="A549" t="s">
        <v>1017</v>
      </c>
      <c r="B549" t="s">
        <v>1018</v>
      </c>
      <c r="C549" t="s">
        <v>1019</v>
      </c>
      <c r="D549" t="s">
        <v>12</v>
      </c>
      <c r="E549" s="3" t="str">
        <f>HYPERLINK("http://www.otzar.org/book.asp?146420","הפנסאי - א")</f>
        <v>הפנסאי - א</v>
      </c>
    </row>
    <row r="550" spans="1:5" x14ac:dyDescent="0.2">
      <c r="A550" t="s">
        <v>1020</v>
      </c>
      <c r="B550" t="s">
        <v>30</v>
      </c>
      <c r="C550" t="s">
        <v>86</v>
      </c>
      <c r="D550" t="s">
        <v>12</v>
      </c>
      <c r="E550" s="3" t="str">
        <f>HYPERLINK("http://www.otzar.org/book.asp?142721","הפצת היהדות")</f>
        <v>הפצת היהדות</v>
      </c>
    </row>
    <row r="551" spans="1:5" x14ac:dyDescent="0.2">
      <c r="A551" t="s">
        <v>1021</v>
      </c>
      <c r="B551" t="s">
        <v>1022</v>
      </c>
      <c r="C551" t="s">
        <v>76</v>
      </c>
      <c r="D551" t="s">
        <v>19</v>
      </c>
      <c r="E551" s="3" t="str">
        <f>HYPERLINK("http://www.otzar.org/book.asp?29326","הפרטיזן שחיכו לו חיים אחרים")</f>
        <v>הפרטיזן שחיכו לו חיים אחרים</v>
      </c>
    </row>
    <row r="552" spans="1:5" x14ac:dyDescent="0.2">
      <c r="A552" t="s">
        <v>1023</v>
      </c>
      <c r="B552" t="s">
        <v>348</v>
      </c>
      <c r="C552" t="s">
        <v>165</v>
      </c>
      <c r="D552" t="s">
        <v>12</v>
      </c>
      <c r="E552" s="3" t="str">
        <f>HYPERLINK("http://www.otzar.org/book.asp?27856","הפרטיזן")</f>
        <v>הפרטיזן</v>
      </c>
    </row>
    <row r="553" spans="1:5" x14ac:dyDescent="0.2">
      <c r="A553" t="s">
        <v>1024</v>
      </c>
      <c r="B553" t="s">
        <v>1025</v>
      </c>
      <c r="C553" t="s">
        <v>44</v>
      </c>
      <c r="D553" t="s">
        <v>12</v>
      </c>
      <c r="E553" s="3" t="str">
        <f>HYPERLINK("http://www.otzar.org/book.asp?173498","הפרשה בגובה העינים")</f>
        <v>הפרשה בגובה העינים</v>
      </c>
    </row>
    <row r="554" spans="1:5" x14ac:dyDescent="0.2">
      <c r="A554" t="s">
        <v>1026</v>
      </c>
      <c r="B554" t="s">
        <v>1027</v>
      </c>
      <c r="C554" t="s">
        <v>11</v>
      </c>
      <c r="D554" t="s">
        <v>12</v>
      </c>
      <c r="E554" s="3" t="str">
        <f>HYPERLINK("http://www.otzar.org/book.asp?164332","הפרשה והחיים")</f>
        <v>הפרשה והחיים</v>
      </c>
    </row>
    <row r="555" spans="1:5" x14ac:dyDescent="0.2">
      <c r="A555" t="s">
        <v>1028</v>
      </c>
      <c r="B555" t="s">
        <v>1029</v>
      </c>
      <c r="C555" t="s">
        <v>15</v>
      </c>
      <c r="D555" t="s">
        <v>12</v>
      </c>
      <c r="E555" s="3" t="str">
        <f>HYPERLINK("http://www.otzar.org/book.asp?189091","הפרשה שלי - א")</f>
        <v>הפרשה שלי - א</v>
      </c>
    </row>
    <row r="556" spans="1:5" x14ac:dyDescent="0.2">
      <c r="A556" t="s">
        <v>1030</v>
      </c>
      <c r="B556" t="s">
        <v>1031</v>
      </c>
      <c r="C556" t="s">
        <v>76</v>
      </c>
      <c r="D556" t="s">
        <v>19</v>
      </c>
      <c r="E556" s="3" t="str">
        <f>HYPERLINK("http://www.otzar.org/book.asp?199159","הצדיקים וספר התניא")</f>
        <v>הצדיקים וספר התניא</v>
      </c>
    </row>
    <row r="557" spans="1:5" x14ac:dyDescent="0.2">
      <c r="A557" t="s">
        <v>1032</v>
      </c>
      <c r="B557" t="s">
        <v>1033</v>
      </c>
      <c r="C557" t="s">
        <v>76</v>
      </c>
      <c r="D557" t="s">
        <v>12</v>
      </c>
      <c r="E557" s="3" t="str">
        <f>HYPERLINK("http://www.otzar.org/book.asp?143268","הצופן הסודי")</f>
        <v>הצופן הסודי</v>
      </c>
    </row>
    <row r="558" spans="1:5" x14ac:dyDescent="0.2">
      <c r="A558" t="s">
        <v>1034</v>
      </c>
      <c r="B558" t="s">
        <v>30</v>
      </c>
      <c r="C558" t="s">
        <v>52</v>
      </c>
      <c r="D558" t="s">
        <v>40</v>
      </c>
      <c r="E558" s="3" t="str">
        <f>HYPERLINK("http://www.otzar.org/book.asp?27611","הצפנת פענח במשנת הרבי")</f>
        <v>הצפנת פענח במשנת הרבי</v>
      </c>
    </row>
    <row r="559" spans="1:5" x14ac:dyDescent="0.2">
      <c r="A559" t="s">
        <v>1035</v>
      </c>
      <c r="B559" t="s">
        <v>564</v>
      </c>
      <c r="C559" t="s">
        <v>126</v>
      </c>
      <c r="D559" t="s">
        <v>40</v>
      </c>
      <c r="E559" s="3" t="str">
        <f>HYPERLINK("http://www.otzar.org/book.asp?141456","הקדמת דרך חיים")</f>
        <v>הקדמת דרך חיים</v>
      </c>
    </row>
    <row r="560" spans="1:5" x14ac:dyDescent="0.2">
      <c r="A560" t="s">
        <v>1036</v>
      </c>
      <c r="B560" t="s">
        <v>1037</v>
      </c>
      <c r="C560" t="s">
        <v>49</v>
      </c>
      <c r="D560" t="s">
        <v>12</v>
      </c>
      <c r="E560" s="3" t="str">
        <f>HYPERLINK("http://www.otzar.org/book.asp?160620","הקהל - 3 כר'")</f>
        <v>הקהל - 3 כר'</v>
      </c>
    </row>
    <row r="561" spans="1:5" x14ac:dyDescent="0.2">
      <c r="A561" t="s">
        <v>1038</v>
      </c>
      <c r="B561" t="s">
        <v>1039</v>
      </c>
      <c r="C561" t="s">
        <v>58</v>
      </c>
      <c r="D561" t="s">
        <v>12</v>
      </c>
      <c r="E561" s="3" t="str">
        <f>HYPERLINK("http://www.otzar.org/book.asp?627068","הקהל")</f>
        <v>הקהל</v>
      </c>
    </row>
    <row r="562" spans="1:5" x14ac:dyDescent="0.2">
      <c r="A562" t="s">
        <v>1040</v>
      </c>
      <c r="B562" t="s">
        <v>1041</v>
      </c>
      <c r="C562" t="s">
        <v>18</v>
      </c>
      <c r="D562" t="s">
        <v>8</v>
      </c>
      <c r="E562" s="3" t="str">
        <f>HYPERLINK("http://www.otzar.org/book.asp?27585","הקץ")</f>
        <v>הקץ</v>
      </c>
    </row>
    <row r="563" spans="1:5" x14ac:dyDescent="0.2">
      <c r="A563" t="s">
        <v>1042</v>
      </c>
      <c r="B563" t="s">
        <v>1043</v>
      </c>
      <c r="C563" t="s">
        <v>76</v>
      </c>
      <c r="D563" t="s">
        <v>12</v>
      </c>
      <c r="E563" s="3" t="str">
        <f>HYPERLINK("http://www.otzar.org/book.asp?622499","הקצרים - 4 כר'")</f>
        <v>הקצרים - 4 כר'</v>
      </c>
    </row>
    <row r="564" spans="1:5" x14ac:dyDescent="0.2">
      <c r="A564" t="s">
        <v>1044</v>
      </c>
      <c r="B564" t="s">
        <v>749</v>
      </c>
      <c r="C564" t="s">
        <v>350</v>
      </c>
      <c r="D564" t="s">
        <v>1045</v>
      </c>
      <c r="E564" s="3" t="str">
        <f>HYPERLINK("http://www.otzar.org/book.asp?607710","הקצרים - 2 כר'")</f>
        <v>הקצרים - 2 כר'</v>
      </c>
    </row>
    <row r="565" spans="1:5" x14ac:dyDescent="0.2">
      <c r="A565" t="s">
        <v>1046</v>
      </c>
      <c r="B565" t="s">
        <v>1047</v>
      </c>
      <c r="C565" t="s">
        <v>132</v>
      </c>
      <c r="D565" t="s">
        <v>775</v>
      </c>
      <c r="E565" s="3" t="str">
        <f>HYPERLINK("http://www.otzar.org/book.asp?619483","הקריאה והקדושה - 5 כר'")</f>
        <v>הקריאה והקדושה - 5 כר'</v>
      </c>
    </row>
    <row r="566" spans="1:5" x14ac:dyDescent="0.2">
      <c r="A566" t="s">
        <v>1048</v>
      </c>
      <c r="B566" t="s">
        <v>1049</v>
      </c>
      <c r="C566" t="s">
        <v>65</v>
      </c>
      <c r="D566" t="s">
        <v>12</v>
      </c>
      <c r="E566" s="3" t="str">
        <f>HYPERLINK("http://www.otzar.org/book.asp?27259","הר המלך - 8 כר'")</f>
        <v>הר המלך - 8 כר'</v>
      </c>
    </row>
    <row r="567" spans="1:5" x14ac:dyDescent="0.2">
      <c r="A567" t="s">
        <v>1050</v>
      </c>
      <c r="B567" t="s">
        <v>33</v>
      </c>
      <c r="C567" t="s">
        <v>44</v>
      </c>
      <c r="D567" t="s">
        <v>12</v>
      </c>
      <c r="E567" s="3" t="str">
        <f>HYPERLINK("http://www.otzar.org/book.asp?173845","הראש והממשלה")</f>
        <v>הראש והממשלה</v>
      </c>
    </row>
    <row r="568" spans="1:5" x14ac:dyDescent="0.2">
      <c r="A568" t="s">
        <v>1051</v>
      </c>
      <c r="B568" t="s">
        <v>1052</v>
      </c>
      <c r="C568" t="s">
        <v>34</v>
      </c>
      <c r="D568" t="s">
        <v>8</v>
      </c>
      <c r="E568" s="3" t="str">
        <f>HYPERLINK("http://www.otzar.org/book.asp?153352","הראש")</f>
        <v>הראש</v>
      </c>
    </row>
    <row r="569" spans="1:5" x14ac:dyDescent="0.2">
      <c r="A569" t="s">
        <v>1053</v>
      </c>
      <c r="B569" t="s">
        <v>1054</v>
      </c>
      <c r="C569" t="s">
        <v>73</v>
      </c>
      <c r="D569" t="s">
        <v>40</v>
      </c>
      <c r="E569" s="3" t="str">
        <f>HYPERLINK("http://www.otzar.org/book.asp?181128","הראשון - אדמו""ר הזקן")</f>
        <v>הראשון - אדמו"ר הזקן</v>
      </c>
    </row>
    <row r="570" spans="1:5" x14ac:dyDescent="0.2">
      <c r="A570" t="s">
        <v>1055</v>
      </c>
      <c r="B570" t="s">
        <v>1056</v>
      </c>
      <c r="C570" t="s">
        <v>1057</v>
      </c>
      <c r="D570" t="s">
        <v>1058</v>
      </c>
      <c r="E570" s="3" t="str">
        <f>HYPERLINK("http://www.otzar.org/book.asp?17685","הרב מלאדי ומפלגת חב""ד - 2 כר'")</f>
        <v>הרב מלאדי ומפלגת חב"ד - 2 כר'</v>
      </c>
    </row>
    <row r="571" spans="1:5" x14ac:dyDescent="0.2">
      <c r="A571" t="s">
        <v>1059</v>
      </c>
      <c r="B571" t="s">
        <v>564</v>
      </c>
      <c r="C571" t="s">
        <v>1060</v>
      </c>
      <c r="D571" t="s">
        <v>8</v>
      </c>
      <c r="E571" s="3" t="str">
        <f>HYPERLINK("http://www.otzar.org/book.asp?145652","הרב רבי הילל מפאריטש")</f>
        <v>הרב רבי הילל מפאריטש</v>
      </c>
    </row>
    <row r="572" spans="1:5" x14ac:dyDescent="0.2">
      <c r="A572" t="s">
        <v>1061</v>
      </c>
      <c r="B572" t="s">
        <v>1062</v>
      </c>
      <c r="C572" t="s">
        <v>15</v>
      </c>
      <c r="D572" t="s">
        <v>12</v>
      </c>
      <c r="E572" s="3" t="str">
        <f>HYPERLINK("http://www.otzar.org/book.asp?189063","הרבי בפאריז")</f>
        <v>הרבי בפאריז</v>
      </c>
    </row>
    <row r="573" spans="1:5" x14ac:dyDescent="0.2">
      <c r="A573" t="s">
        <v>1063</v>
      </c>
      <c r="B573" t="s">
        <v>1063</v>
      </c>
      <c r="C573" t="s">
        <v>148</v>
      </c>
      <c r="D573" t="s">
        <v>19</v>
      </c>
      <c r="E573" s="3" t="str">
        <f>HYPERLINK("http://www.otzar.org/book.asp?27199","הרבי והמונקאטשער")</f>
        <v>הרבי והמונקאטשער</v>
      </c>
    </row>
    <row r="574" spans="1:5" x14ac:dyDescent="0.2">
      <c r="A574" t="s">
        <v>1064</v>
      </c>
      <c r="B574" t="s">
        <v>1065</v>
      </c>
      <c r="C574" t="s">
        <v>86</v>
      </c>
      <c r="D574" t="s">
        <v>249</v>
      </c>
      <c r="E574" s="3" t="str">
        <f>HYPERLINK("http://www.otzar.org/book.asp?142758","הרבי ויהדות ספרד - 2 כר'")</f>
        <v>הרבי ויהדות ספרד - 2 כר'</v>
      </c>
    </row>
    <row r="575" spans="1:5" x14ac:dyDescent="0.2">
      <c r="A575" t="s">
        <v>1066</v>
      </c>
      <c r="B575" t="s">
        <v>1066</v>
      </c>
      <c r="C575" t="s">
        <v>31</v>
      </c>
      <c r="D575" t="s">
        <v>12</v>
      </c>
      <c r="E575" s="3" t="str">
        <f>HYPERLINK("http://www.otzar.org/book.asp?141554","הרבי ופעלו")</f>
        <v>הרבי ופעלו</v>
      </c>
    </row>
    <row r="576" spans="1:5" x14ac:dyDescent="0.2">
      <c r="A576" t="s">
        <v>1067</v>
      </c>
      <c r="B576" t="s">
        <v>1068</v>
      </c>
      <c r="C576" t="s">
        <v>15</v>
      </c>
      <c r="D576" t="s">
        <v>12</v>
      </c>
      <c r="E576" s="3" t="str">
        <f>HYPERLINK("http://www.otzar.org/book.asp?607664","הרבי וראשי הממשלה")</f>
        <v>הרבי וראשי הממשלה</v>
      </c>
    </row>
    <row r="577" spans="1:5" x14ac:dyDescent="0.2">
      <c r="A577" t="s">
        <v>1069</v>
      </c>
      <c r="B577" t="s">
        <v>1070</v>
      </c>
      <c r="C577" t="s">
        <v>18</v>
      </c>
      <c r="D577" t="s">
        <v>12</v>
      </c>
      <c r="E577" s="3" t="str">
        <f>HYPERLINK("http://www.otzar.org/book.asp?140868","הרבי חמישים שנות נשיאות - 3 כר'")</f>
        <v>הרבי חמישים שנות נשיאות - 3 כר'</v>
      </c>
    </row>
    <row r="578" spans="1:5" x14ac:dyDescent="0.2">
      <c r="A578" t="s">
        <v>1071</v>
      </c>
      <c r="B578" t="s">
        <v>30</v>
      </c>
      <c r="C578" t="s">
        <v>129</v>
      </c>
      <c r="D578" t="s">
        <v>12</v>
      </c>
      <c r="E578" s="3" t="str">
        <f>HYPERLINK("http://www.otzar.org/book.asp?141284","הרבי מדבר לילדי ישראל")</f>
        <v>הרבי מדבר לילדי ישראל</v>
      </c>
    </row>
    <row r="579" spans="1:5" x14ac:dyDescent="0.2">
      <c r="A579" t="s">
        <v>1072</v>
      </c>
      <c r="B579" t="s">
        <v>105</v>
      </c>
      <c r="C579" t="s">
        <v>76</v>
      </c>
      <c r="D579" t="s">
        <v>19</v>
      </c>
      <c r="E579" s="3" t="str">
        <f>HYPERLINK("http://www.otzar.org/book.asp?146372","הרבי מליובאוויטש נ""ע")</f>
        <v>הרבי מליובאוויטש נ"ע</v>
      </c>
    </row>
    <row r="580" spans="1:5" x14ac:dyDescent="0.2">
      <c r="A580" t="s">
        <v>1073</v>
      </c>
      <c r="B580" t="s">
        <v>1074</v>
      </c>
      <c r="C580" t="s">
        <v>31</v>
      </c>
      <c r="D580" t="s">
        <v>12</v>
      </c>
      <c r="E580" s="3" t="str">
        <f>HYPERLINK("http://www.otzar.org/book.asp?627074","הרבי מליובאוויטש")</f>
        <v>הרבי מליובאוויטש</v>
      </c>
    </row>
    <row r="581" spans="1:5" x14ac:dyDescent="0.2">
      <c r="A581" t="s">
        <v>1073</v>
      </c>
      <c r="B581" t="s">
        <v>842</v>
      </c>
      <c r="C581" t="s">
        <v>82</v>
      </c>
      <c r="D581" t="s">
        <v>12</v>
      </c>
      <c r="E581" s="3" t="str">
        <f>HYPERLINK("http://www.otzar.org/book.asp?607938","הרבי מליובאוויטש")</f>
        <v>הרבי מליובאוויטש</v>
      </c>
    </row>
    <row r="582" spans="1:5" x14ac:dyDescent="0.2">
      <c r="A582" t="s">
        <v>1073</v>
      </c>
      <c r="B582" t="s">
        <v>164</v>
      </c>
      <c r="C582" t="s">
        <v>76</v>
      </c>
      <c r="D582" t="s">
        <v>12</v>
      </c>
      <c r="E582" s="3" t="str">
        <f>HYPERLINK("http://www.otzar.org/book.asp?28703","הרבי מליובאוויטש")</f>
        <v>הרבי מליובאוויטש</v>
      </c>
    </row>
    <row r="583" spans="1:5" x14ac:dyDescent="0.2">
      <c r="A583" t="s">
        <v>1075</v>
      </c>
      <c r="B583" t="s">
        <v>1076</v>
      </c>
      <c r="C583" t="s">
        <v>82</v>
      </c>
      <c r="D583" t="s">
        <v>80</v>
      </c>
      <c r="E583" s="3" t="str">
        <f>HYPERLINK("http://www.otzar.org/book.asp?196293","הרבי שלי")</f>
        <v>הרבי שלי</v>
      </c>
    </row>
    <row r="584" spans="1:5" x14ac:dyDescent="0.2">
      <c r="A584" t="s">
        <v>1077</v>
      </c>
      <c r="B584" t="s">
        <v>1078</v>
      </c>
      <c r="C584" t="s">
        <v>126</v>
      </c>
      <c r="D584" t="s">
        <v>40</v>
      </c>
      <c r="E584" s="3" t="str">
        <f>HYPERLINK("http://www.otzar.org/book.asp?141658","הרבי שלשים שנות נשיאות - 2 כר'")</f>
        <v>הרבי שלשים שנות נשיאות - 2 כר'</v>
      </c>
    </row>
    <row r="585" spans="1:5" x14ac:dyDescent="0.2">
      <c r="A585" t="s">
        <v>1079</v>
      </c>
      <c r="B585" t="s">
        <v>1080</v>
      </c>
      <c r="C585" t="s">
        <v>76</v>
      </c>
      <c r="D585" t="s">
        <v>12</v>
      </c>
      <c r="E585" s="3" t="str">
        <f>HYPERLINK("http://www.otzar.org/book.asp?141467","הרבי שנאשם בבגידה ומרידה במלכות")</f>
        <v>הרבי שנאשם בבגידה ומרידה במלכות</v>
      </c>
    </row>
    <row r="586" spans="1:5" x14ac:dyDescent="0.2">
      <c r="A586" t="s">
        <v>1081</v>
      </c>
      <c r="B586" t="s">
        <v>105</v>
      </c>
      <c r="C586" t="s">
        <v>76</v>
      </c>
      <c r="D586" t="s">
        <v>19</v>
      </c>
      <c r="E586" s="3" t="str">
        <f>HYPERLINK("http://www.otzar.org/book.asp?607663","הרבי - מבט אישי")</f>
        <v>הרבי - מבט אישי</v>
      </c>
    </row>
    <row r="587" spans="1:5" x14ac:dyDescent="0.2">
      <c r="A587" t="s">
        <v>1082</v>
      </c>
      <c r="B587" t="s">
        <v>1083</v>
      </c>
      <c r="C587" t="s">
        <v>76</v>
      </c>
      <c r="D587" t="s">
        <v>12</v>
      </c>
      <c r="E587" s="3" t="str">
        <f>HYPERLINK("http://www.otzar.org/book.asp?141418","הרבי")</f>
        <v>הרבי</v>
      </c>
    </row>
    <row r="588" spans="1:5" x14ac:dyDescent="0.2">
      <c r="A588" t="s">
        <v>1082</v>
      </c>
      <c r="B588" t="s">
        <v>1084</v>
      </c>
      <c r="C588" t="s">
        <v>76</v>
      </c>
      <c r="D588" t="s">
        <v>12</v>
      </c>
      <c r="E588" s="3" t="str">
        <f>HYPERLINK("http://www.otzar.org/book.asp?614940","הרבי")</f>
        <v>הרבי</v>
      </c>
    </row>
    <row r="589" spans="1:5" x14ac:dyDescent="0.2">
      <c r="A589" t="s">
        <v>1085</v>
      </c>
      <c r="B589" t="s">
        <v>1086</v>
      </c>
      <c r="C589" t="s">
        <v>73</v>
      </c>
      <c r="D589" t="s">
        <v>12</v>
      </c>
      <c r="E589" s="3" t="str">
        <f>HYPERLINK("http://www.otzar.org/book.asp?189094","הרבניות - 6 כר'")</f>
        <v>הרבניות - 6 כר'</v>
      </c>
    </row>
    <row r="590" spans="1:5" x14ac:dyDescent="0.2">
      <c r="A590" t="s">
        <v>1087</v>
      </c>
      <c r="B590" t="s">
        <v>1088</v>
      </c>
      <c r="C590" t="s">
        <v>22</v>
      </c>
      <c r="D590" t="s">
        <v>12</v>
      </c>
      <c r="E590" s="3" t="str">
        <f>HYPERLINK("http://www.otzar.org/book.asp?189057","הרבניות")</f>
        <v>הרבניות</v>
      </c>
    </row>
    <row r="591" spans="1:5" x14ac:dyDescent="0.2">
      <c r="A591" t="s">
        <v>1089</v>
      </c>
      <c r="B591" t="s">
        <v>21</v>
      </c>
      <c r="C591" t="s">
        <v>111</v>
      </c>
      <c r="D591" t="s">
        <v>8</v>
      </c>
      <c r="E591" s="3" t="str">
        <f>HYPERLINK("http://www.otzar.org/book.asp?146296","הרבנית הצדקנית מנוחה רחל ע""ה אם חב""ד בחברון")</f>
        <v>הרבנית הצדקנית מנוחה רחל ע"ה אם חב"ד בחברון</v>
      </c>
    </row>
    <row r="592" spans="1:5" x14ac:dyDescent="0.2">
      <c r="A592" t="s">
        <v>1090</v>
      </c>
      <c r="B592" t="s">
        <v>1088</v>
      </c>
      <c r="C592" t="s">
        <v>11</v>
      </c>
      <c r="D592" t="s">
        <v>12</v>
      </c>
      <c r="E592" s="3" t="str">
        <f>HYPERLINK("http://www.otzar.org/book.asp?189105","הרבנית חיה מושקא")</f>
        <v>הרבנית חיה מושקא</v>
      </c>
    </row>
    <row r="593" spans="1:5" x14ac:dyDescent="0.2">
      <c r="A593" t="s">
        <v>1091</v>
      </c>
      <c r="B593" t="s">
        <v>1043</v>
      </c>
      <c r="D593" t="s">
        <v>12</v>
      </c>
      <c r="E593" s="3" t="str">
        <f>HYPERLINK("http://www.otzar.org/book.asp?607688","הרבנית חנה")</f>
        <v>הרבנית חנה</v>
      </c>
    </row>
    <row r="594" spans="1:5" x14ac:dyDescent="0.2">
      <c r="A594" t="s">
        <v>1091</v>
      </c>
      <c r="B594" t="s">
        <v>1088</v>
      </c>
      <c r="C594" t="s">
        <v>22</v>
      </c>
      <c r="D594" t="s">
        <v>12</v>
      </c>
      <c r="E594" s="3" t="str">
        <f>HYPERLINK("http://www.otzar.org/book.asp?189058","הרבנית חנה")</f>
        <v>הרבנית חנה</v>
      </c>
    </row>
    <row r="595" spans="1:5" x14ac:dyDescent="0.2">
      <c r="A595" t="s">
        <v>1092</v>
      </c>
      <c r="B595" t="s">
        <v>1093</v>
      </c>
      <c r="C595" t="s">
        <v>44</v>
      </c>
      <c r="D595" t="s">
        <v>8</v>
      </c>
      <c r="E595" s="3" t="str">
        <f>HYPERLINK("http://www.otzar.org/book.asp?173843","הרבנית - 2 כר'")</f>
        <v>הרבנית - 2 כר'</v>
      </c>
    </row>
    <row r="596" spans="1:5" x14ac:dyDescent="0.2">
      <c r="A596" t="s">
        <v>1094</v>
      </c>
      <c r="B596" t="s">
        <v>1095</v>
      </c>
      <c r="C596" t="s">
        <v>142</v>
      </c>
      <c r="D596" t="s">
        <v>775</v>
      </c>
      <c r="E596" s="3" t="str">
        <f>HYPERLINK("http://www.otzar.org/book.asp?617490","הרי""ף - מכתבים ותולדות חייו של ר' יחזקאל פייגין")</f>
        <v>הרי"ף - מכתבים ותולדות חייו של ר' יחזקאל פייגין</v>
      </c>
    </row>
    <row r="597" spans="1:5" x14ac:dyDescent="0.2">
      <c r="A597" t="s">
        <v>1096</v>
      </c>
      <c r="B597" t="s">
        <v>108</v>
      </c>
      <c r="C597" t="s">
        <v>276</v>
      </c>
      <c r="D597" t="s">
        <v>8</v>
      </c>
      <c r="E597" s="3" t="str">
        <f>HYPERLINK("http://www.otzar.org/book.asp?27494","הריעו לפני המלך")</f>
        <v>הריעו לפני המלך</v>
      </c>
    </row>
    <row r="598" spans="1:5" x14ac:dyDescent="0.2">
      <c r="A598" t="s">
        <v>1097</v>
      </c>
      <c r="B598" t="s">
        <v>1098</v>
      </c>
      <c r="C598" t="s">
        <v>22</v>
      </c>
      <c r="D598" t="s">
        <v>8</v>
      </c>
      <c r="E598" s="3" t="str">
        <f>HYPERLINK("http://www.otzar.org/book.asp?26934","הרמב""ם ושלחן ערוך אדמו""ר הזקן")</f>
        <v>הרמב"ם ושלחן ערוך אדמו"ר הזקן</v>
      </c>
    </row>
    <row r="599" spans="1:5" x14ac:dyDescent="0.2">
      <c r="A599" t="s">
        <v>1099</v>
      </c>
      <c r="B599" t="s">
        <v>1100</v>
      </c>
      <c r="C599" t="s">
        <v>73</v>
      </c>
      <c r="D599" t="s">
        <v>12</v>
      </c>
      <c r="E599" s="3" t="str">
        <f>HYPERLINK("http://www.otzar.org/book.asp?181126","השביעי - הרבי מליובאוויטש")</f>
        <v>השביעי - הרבי מליובאוויטש</v>
      </c>
    </row>
    <row r="600" spans="1:5" x14ac:dyDescent="0.2">
      <c r="A600" t="s">
        <v>1101</v>
      </c>
      <c r="B600" t="s">
        <v>527</v>
      </c>
      <c r="C600" t="s">
        <v>165</v>
      </c>
      <c r="D600" t="s">
        <v>12</v>
      </c>
      <c r="E600" s="3" t="str">
        <f>HYPERLINK("http://www.otzar.org/book.asp?27219","השבת בקבלה ובחסידות - 2 כר'")</f>
        <v>השבת בקבלה ובחסידות - 2 כר'</v>
      </c>
    </row>
    <row r="601" spans="1:5" x14ac:dyDescent="0.2">
      <c r="A601" t="s">
        <v>1102</v>
      </c>
      <c r="B601" t="s">
        <v>1103</v>
      </c>
      <c r="C601" t="s">
        <v>477</v>
      </c>
      <c r="D601" t="s">
        <v>19</v>
      </c>
      <c r="E601" s="3" t="str">
        <f>HYPERLINK("http://www.otzar.org/book.asp?146245","השיר הוא קולמוס הנפש")</f>
        <v>השיר הוא קולמוס הנפש</v>
      </c>
    </row>
    <row r="602" spans="1:5" x14ac:dyDescent="0.2">
      <c r="A602" t="s">
        <v>1104</v>
      </c>
      <c r="B602" t="s">
        <v>30</v>
      </c>
      <c r="C602" t="s">
        <v>183</v>
      </c>
      <c r="D602" t="s">
        <v>1105</v>
      </c>
      <c r="E602" s="3" t="str">
        <f>HYPERLINK("http://www.otzar.org/book.asp?28835","השליחות החינוכית באגרות הרבי")</f>
        <v>השליחות החינוכית באגרות הרבי</v>
      </c>
    </row>
    <row r="603" spans="1:5" x14ac:dyDescent="0.2">
      <c r="A603" t="s">
        <v>1106</v>
      </c>
      <c r="B603" t="s">
        <v>303</v>
      </c>
      <c r="C603" t="s">
        <v>18</v>
      </c>
      <c r="D603" t="s">
        <v>12</v>
      </c>
      <c r="E603" s="3" t="str">
        <f>HYPERLINK("http://www.otzar.org/book.asp?162755","השליחות לארץ הקודש &lt;הוצאה חדשה ומורחבת&gt;")</f>
        <v>השליחות לארץ הקודש &lt;הוצאה חדשה ומורחבת&gt;</v>
      </c>
    </row>
    <row r="604" spans="1:5" x14ac:dyDescent="0.2">
      <c r="A604" t="s">
        <v>1107</v>
      </c>
      <c r="B604" t="s">
        <v>1108</v>
      </c>
      <c r="C604" t="s">
        <v>165</v>
      </c>
      <c r="D604" t="s">
        <v>12</v>
      </c>
      <c r="E604" s="3" t="str">
        <f>HYPERLINK("http://www.otzar.org/book.asp?27616","השליחות לארץ הקודש - 11 כר'")</f>
        <v>השליחות לארץ הקודש - 11 כר'</v>
      </c>
    </row>
    <row r="605" spans="1:5" x14ac:dyDescent="0.2">
      <c r="A605" t="s">
        <v>1109</v>
      </c>
      <c r="B605" t="s">
        <v>1110</v>
      </c>
      <c r="C605" t="s">
        <v>183</v>
      </c>
      <c r="D605" t="s">
        <v>8</v>
      </c>
      <c r="E605" s="3" t="str">
        <f>HYPERLINK("http://www.otzar.org/book.asp?160691","התהלוכה (תשס""א)")</f>
        <v>התהלוכה (תשס"א)</v>
      </c>
    </row>
    <row r="606" spans="1:5" x14ac:dyDescent="0.2">
      <c r="A606" t="s">
        <v>1111</v>
      </c>
      <c r="B606" t="s">
        <v>1110</v>
      </c>
      <c r="C606" t="s">
        <v>73</v>
      </c>
      <c r="D606" t="s">
        <v>8</v>
      </c>
      <c r="E606" s="3" t="str">
        <f>HYPERLINK("http://www.otzar.org/book.asp?614933","התהלוכה (תשע""ד)")</f>
        <v>התהלוכה (תשע"ד)</v>
      </c>
    </row>
    <row r="607" spans="1:5" x14ac:dyDescent="0.2">
      <c r="A607" t="s">
        <v>1112</v>
      </c>
      <c r="B607" t="s">
        <v>1112</v>
      </c>
      <c r="C607" t="s">
        <v>7</v>
      </c>
      <c r="D607" t="s">
        <v>19</v>
      </c>
      <c r="E607" s="3" t="str">
        <f>HYPERLINK("http://www.otzar.org/book.asp?630322","התוועדות יב-יג תמוז תשע""ט")</f>
        <v>התוועדות יב-יג תמוז תשע"ט</v>
      </c>
    </row>
    <row r="608" spans="1:5" x14ac:dyDescent="0.2">
      <c r="A608" t="s">
        <v>1113</v>
      </c>
      <c r="B608" t="s">
        <v>1114</v>
      </c>
      <c r="C608" t="s">
        <v>39</v>
      </c>
      <c r="D608" t="s">
        <v>19</v>
      </c>
      <c r="E608" s="3" t="str">
        <f>HYPERLINK("http://www.otzar.org/book.asp?142179","התוועדות מעולם אחר")</f>
        <v>התוועדות מעולם אחר</v>
      </c>
    </row>
    <row r="609" spans="1:5" x14ac:dyDescent="0.2">
      <c r="A609" t="s">
        <v>1115</v>
      </c>
      <c r="B609" t="s">
        <v>244</v>
      </c>
      <c r="C609" t="s">
        <v>7</v>
      </c>
      <c r="D609" t="s">
        <v>40</v>
      </c>
      <c r="E609" s="3" t="str">
        <f>HYPERLINK("http://www.otzar.org/book.asp?622504","התוועדות")</f>
        <v>התוועדות</v>
      </c>
    </row>
    <row r="610" spans="1:5" x14ac:dyDescent="0.2">
      <c r="A610" t="s">
        <v>1115</v>
      </c>
      <c r="B610" t="s">
        <v>1116</v>
      </c>
      <c r="C610" t="s">
        <v>142</v>
      </c>
      <c r="D610" t="s">
        <v>40</v>
      </c>
      <c r="E610" s="3" t="str">
        <f>HYPERLINK("http://www.otzar.org/book.asp?611999","התוועדות")</f>
        <v>התוועדות</v>
      </c>
    </row>
    <row r="611" spans="1:5" x14ac:dyDescent="0.2">
      <c r="A611" t="s">
        <v>1117</v>
      </c>
      <c r="B611" t="s">
        <v>842</v>
      </c>
      <c r="C611" t="s">
        <v>176</v>
      </c>
      <c r="D611" t="s">
        <v>71</v>
      </c>
      <c r="E611" s="3" t="str">
        <f>HYPERLINK("http://www.otzar.org/book.asp?146519","התועדות ארצית")</f>
        <v>התועדות ארצית</v>
      </c>
    </row>
    <row r="612" spans="1:5" x14ac:dyDescent="0.2">
      <c r="A612" t="s">
        <v>1118</v>
      </c>
      <c r="B612" t="s">
        <v>38</v>
      </c>
      <c r="C612" t="s">
        <v>76</v>
      </c>
      <c r="D612" t="s">
        <v>19</v>
      </c>
      <c r="E612" s="3" t="str">
        <f>HYPERLINK("http://www.otzar.org/book.asp?146332","התועדות מהי")</f>
        <v>התועדות מהי</v>
      </c>
    </row>
    <row r="613" spans="1:5" x14ac:dyDescent="0.2">
      <c r="A613" t="s">
        <v>1119</v>
      </c>
      <c r="B613" t="s">
        <v>1120</v>
      </c>
      <c r="C613" t="s">
        <v>201</v>
      </c>
      <c r="D613" t="s">
        <v>12</v>
      </c>
      <c r="E613" s="3" t="str">
        <f>HYPERLINK("http://www.otzar.org/book.asp?146005","התורה בהישג יד")</f>
        <v>התורה בהישג יד</v>
      </c>
    </row>
    <row r="614" spans="1:5" x14ac:dyDescent="0.2">
      <c r="A614" t="s">
        <v>1121</v>
      </c>
      <c r="B614" t="s">
        <v>1122</v>
      </c>
      <c r="C614" t="s">
        <v>350</v>
      </c>
      <c r="D614" t="s">
        <v>12</v>
      </c>
      <c r="E614" s="3" t="str">
        <f>HYPERLINK("http://www.otzar.org/book.asp?607758","התורה שלי - ב (שמות)")</f>
        <v>התורה שלי - ב (שמות)</v>
      </c>
    </row>
    <row r="615" spans="1:5" x14ac:dyDescent="0.2">
      <c r="A615" t="s">
        <v>1123</v>
      </c>
      <c r="B615" t="s">
        <v>30</v>
      </c>
      <c r="C615" t="s">
        <v>148</v>
      </c>
      <c r="D615" t="s">
        <v>8</v>
      </c>
      <c r="E615" s="3" t="str">
        <f>HYPERLINK("http://www.otzar.org/book.asp?146268","התחלת פרק מ""א בתניא")</f>
        <v>התחלת פרק מ"א בתניא</v>
      </c>
    </row>
    <row r="616" spans="1:5" x14ac:dyDescent="0.2">
      <c r="A616" t="s">
        <v>1124</v>
      </c>
      <c r="B616" t="s">
        <v>1124</v>
      </c>
      <c r="C616" t="s">
        <v>327</v>
      </c>
      <c r="D616" t="s">
        <v>8</v>
      </c>
      <c r="E616" s="3" t="str">
        <f>HYPERLINK("http://www.otzar.org/book.asp?140870","התלמידים השלוחים")</f>
        <v>התלמידים השלוחים</v>
      </c>
    </row>
    <row r="617" spans="1:5" x14ac:dyDescent="0.2">
      <c r="A617" t="s">
        <v>1125</v>
      </c>
      <c r="B617" t="s">
        <v>1126</v>
      </c>
      <c r="C617" t="s">
        <v>183</v>
      </c>
      <c r="D617" t="s">
        <v>240</v>
      </c>
      <c r="E617" s="3" t="str">
        <f>HYPERLINK("http://www.otzar.org/book.asp?611272","התמים מוסף בית משיח - 47 כר'")</f>
        <v>התמים מוסף בית משיח - 47 כר'</v>
      </c>
    </row>
    <row r="618" spans="1:5" x14ac:dyDescent="0.2">
      <c r="A618" t="s">
        <v>1127</v>
      </c>
      <c r="B618" t="s">
        <v>1128</v>
      </c>
      <c r="C618" t="s">
        <v>1129</v>
      </c>
      <c r="D618" t="s">
        <v>1058</v>
      </c>
      <c r="E618" s="3" t="str">
        <f>HYPERLINK("http://www.otzar.org/book.asp?26884","התמים - 2 כר'")</f>
        <v>התמים - 2 כר'</v>
      </c>
    </row>
    <row r="619" spans="1:5" x14ac:dyDescent="0.2">
      <c r="A619" t="s">
        <v>1130</v>
      </c>
      <c r="B619" t="s">
        <v>303</v>
      </c>
      <c r="C619" t="s">
        <v>11</v>
      </c>
      <c r="D619" t="s">
        <v>12</v>
      </c>
      <c r="E619" s="3" t="str">
        <f>HYPERLINK("http://www.otzar.org/book.asp?168952","התניא נחלת העם (הוצאה שניה מורחבת)")</f>
        <v>התניא נחלת העם (הוצאה שניה מורחבת)</v>
      </c>
    </row>
    <row r="620" spans="1:5" x14ac:dyDescent="0.2">
      <c r="A620" t="s">
        <v>1131</v>
      </c>
      <c r="B620" t="s">
        <v>303</v>
      </c>
      <c r="C620" t="s">
        <v>86</v>
      </c>
      <c r="D620" t="s">
        <v>12</v>
      </c>
      <c r="E620" s="3" t="str">
        <f>HYPERLINK("http://www.otzar.org/book.asp?162896","התניא נחלת העם")</f>
        <v>התניא נחלת העם</v>
      </c>
    </row>
    <row r="621" spans="1:5" x14ac:dyDescent="0.2">
      <c r="A621" t="s">
        <v>1132</v>
      </c>
      <c r="B621" t="s">
        <v>1133</v>
      </c>
      <c r="C621" t="s">
        <v>327</v>
      </c>
      <c r="D621" t="s">
        <v>166</v>
      </c>
      <c r="E621" s="3" t="str">
        <f>HYPERLINK("http://www.otzar.org/book.asp?167733","התניא קדישא וכחו האלקי")</f>
        <v>התניא קדישא וכחו האלקי</v>
      </c>
    </row>
    <row r="622" spans="1:5" x14ac:dyDescent="0.2">
      <c r="A622" t="s">
        <v>1134</v>
      </c>
      <c r="B622" t="s">
        <v>1135</v>
      </c>
      <c r="C622" t="s">
        <v>76</v>
      </c>
      <c r="D622" t="s">
        <v>19</v>
      </c>
      <c r="E622" s="3" t="str">
        <f>HYPERLINK("http://www.otzar.org/book.asp?141470","התפילה")</f>
        <v>התפילה</v>
      </c>
    </row>
    <row r="623" spans="1:5" x14ac:dyDescent="0.2">
      <c r="A623" t="s">
        <v>1136</v>
      </c>
      <c r="B623" t="s">
        <v>1137</v>
      </c>
      <c r="C623" t="s">
        <v>276</v>
      </c>
      <c r="D623" t="s">
        <v>8</v>
      </c>
      <c r="E623" s="3" t="str">
        <f>HYPERLINK("http://www.otzar.org/book.asp?28782","התקופה והגאולה")</f>
        <v>התקופה והגאולה</v>
      </c>
    </row>
    <row r="624" spans="1:5" x14ac:dyDescent="0.2">
      <c r="A624" t="s">
        <v>1138</v>
      </c>
      <c r="B624" t="s">
        <v>1139</v>
      </c>
      <c r="C624" t="s">
        <v>1140</v>
      </c>
      <c r="D624" t="s">
        <v>12</v>
      </c>
      <c r="E624" s="3" t="str">
        <f>HYPERLINK("http://www.otzar.org/book.asp?618914","התקשרות - 34 כר'")</f>
        <v>התקשרות - 34 כר'</v>
      </c>
    </row>
    <row r="625" spans="1:5" x14ac:dyDescent="0.2">
      <c r="A625" t="s">
        <v>1141</v>
      </c>
      <c r="B625" t="s">
        <v>164</v>
      </c>
      <c r="C625" t="s">
        <v>76</v>
      </c>
      <c r="D625" t="s">
        <v>12</v>
      </c>
      <c r="E625" s="3" t="str">
        <f>HYPERLINK("http://www.otzar.org/book.asp?141489","ואהבת לרעך כמוך")</f>
        <v>ואהבת לרעך כמוך</v>
      </c>
    </row>
    <row r="626" spans="1:5" x14ac:dyDescent="0.2">
      <c r="A626" t="s">
        <v>1142</v>
      </c>
      <c r="B626" t="s">
        <v>1143</v>
      </c>
      <c r="C626" t="s">
        <v>76</v>
      </c>
      <c r="D626" t="s">
        <v>71</v>
      </c>
      <c r="E626" s="3" t="str">
        <f>HYPERLINK("http://www.otzar.org/book.asp?146241","ואני תפילתי")</f>
        <v>ואני תפילתי</v>
      </c>
    </row>
    <row r="627" spans="1:5" x14ac:dyDescent="0.2">
      <c r="A627" t="s">
        <v>1144</v>
      </c>
      <c r="B627" t="s">
        <v>1145</v>
      </c>
      <c r="C627" t="s">
        <v>201</v>
      </c>
      <c r="D627" t="s">
        <v>12</v>
      </c>
      <c r="E627" s="3" t="str">
        <f>HYPERLINK("http://www.otzar.org/book.asp?27100","ואני תפלתי - 2 כר'")</f>
        <v>ואני תפלתי - 2 כר'</v>
      </c>
    </row>
    <row r="628" spans="1:5" x14ac:dyDescent="0.2">
      <c r="A628" t="s">
        <v>1146</v>
      </c>
      <c r="B628" t="s">
        <v>1147</v>
      </c>
      <c r="C628" t="s">
        <v>327</v>
      </c>
      <c r="D628" t="s">
        <v>12</v>
      </c>
      <c r="E628" s="3" t="str">
        <f>HYPERLINK("http://www.otzar.org/book.asp?141541","ובחודש השביעי - 2 כר'")</f>
        <v>ובחודש השביעי - 2 כר'</v>
      </c>
    </row>
    <row r="629" spans="1:5" x14ac:dyDescent="0.2">
      <c r="A629" t="s">
        <v>1148</v>
      </c>
      <c r="B629" t="s">
        <v>108</v>
      </c>
      <c r="C629" t="s">
        <v>34</v>
      </c>
      <c r="D629" t="s">
        <v>12</v>
      </c>
      <c r="E629" s="3" t="str">
        <f>HYPERLINK("http://www.otzar.org/book.asp?161298","ובתוך רבים אהללנו")</f>
        <v>ובתוך רבים אהללנו</v>
      </c>
    </row>
    <row r="630" spans="1:5" x14ac:dyDescent="0.2">
      <c r="A630" t="s">
        <v>1149</v>
      </c>
      <c r="B630" t="s">
        <v>30</v>
      </c>
      <c r="C630" t="s">
        <v>165</v>
      </c>
      <c r="D630" t="s">
        <v>1150</v>
      </c>
      <c r="E630" s="3" t="str">
        <f>HYPERLINK("http://www.otzar.org/book.asp?26519","והאר עינינו בתורתיך")</f>
        <v>והאר עינינו בתורתיך</v>
      </c>
    </row>
    <row r="631" spans="1:5" x14ac:dyDescent="0.2">
      <c r="A631" t="s">
        <v>1151</v>
      </c>
      <c r="B631" t="s">
        <v>30</v>
      </c>
      <c r="C631" t="s">
        <v>31</v>
      </c>
      <c r="D631" t="s">
        <v>19</v>
      </c>
      <c r="E631" s="3" t="str">
        <f>HYPERLINK("http://www.otzar.org/book.asp?146522","והחי יתן אל לבו - 2 כר'")</f>
        <v>והחי יתן אל לבו - 2 כר'</v>
      </c>
    </row>
    <row r="632" spans="1:5" x14ac:dyDescent="0.2">
      <c r="A632" t="s">
        <v>1152</v>
      </c>
      <c r="B632" t="s">
        <v>1152</v>
      </c>
      <c r="C632" t="s">
        <v>327</v>
      </c>
      <c r="D632" t="s">
        <v>8</v>
      </c>
      <c r="E632" s="3" t="str">
        <f>HYPERLINK("http://www.otzar.org/book.asp?142676","והלכת בדרכיו")</f>
        <v>והלכת בדרכיו</v>
      </c>
    </row>
    <row r="633" spans="1:5" x14ac:dyDescent="0.2">
      <c r="A633" t="s">
        <v>1153</v>
      </c>
      <c r="B633" t="s">
        <v>1154</v>
      </c>
      <c r="C633" t="s">
        <v>82</v>
      </c>
      <c r="D633" t="s">
        <v>19</v>
      </c>
      <c r="E633" s="3" t="str">
        <f>HYPERLINK("http://www.otzar.org/book.asp?607869","והם יבוננוהו")</f>
        <v>והם יבוננוהו</v>
      </c>
    </row>
    <row r="634" spans="1:5" x14ac:dyDescent="0.2">
      <c r="A634" t="s">
        <v>1155</v>
      </c>
      <c r="B634" t="s">
        <v>1156</v>
      </c>
      <c r="C634" t="s">
        <v>327</v>
      </c>
      <c r="D634" t="s">
        <v>12</v>
      </c>
      <c r="E634" s="3" t="str">
        <f>HYPERLINK("http://www.otzar.org/book.asp?27411","וואס געדיינקסטו")</f>
        <v>וואס געדיינקסטו</v>
      </c>
    </row>
    <row r="635" spans="1:5" x14ac:dyDescent="0.2">
      <c r="A635" t="s">
        <v>1157</v>
      </c>
      <c r="B635" t="s">
        <v>1158</v>
      </c>
      <c r="C635" t="s">
        <v>82</v>
      </c>
      <c r="D635" t="s">
        <v>80</v>
      </c>
      <c r="E635" s="3" t="str">
        <f>HYPERLINK("http://www.otzar.org/book.asp?607625","וזאת הברכה - לוח ברכות")</f>
        <v>וזאת הברכה - לוח ברכות</v>
      </c>
    </row>
    <row r="636" spans="1:5" x14ac:dyDescent="0.2">
      <c r="A636" t="s">
        <v>1159</v>
      </c>
      <c r="B636" t="s">
        <v>244</v>
      </c>
      <c r="C636" t="s">
        <v>82</v>
      </c>
      <c r="D636" t="s">
        <v>92</v>
      </c>
      <c r="E636" s="3" t="str">
        <f>HYPERLINK("http://www.otzar.org/book.asp?196263","וידעת היום")</f>
        <v>וידעת היום</v>
      </c>
    </row>
    <row r="637" spans="1:5" x14ac:dyDescent="0.2">
      <c r="A637" t="s">
        <v>1160</v>
      </c>
      <c r="B637" t="s">
        <v>1161</v>
      </c>
      <c r="C637" t="s">
        <v>82</v>
      </c>
      <c r="D637" t="s">
        <v>857</v>
      </c>
      <c r="E637" s="3" t="str">
        <f>HYPERLINK("http://www.otzar.org/book.asp?196300","ויהי איש מצליח")</f>
        <v>ויהי איש מצליח</v>
      </c>
    </row>
    <row r="638" spans="1:5" x14ac:dyDescent="0.2">
      <c r="A638" t="s">
        <v>1162</v>
      </c>
      <c r="B638" t="s">
        <v>30</v>
      </c>
      <c r="C638" t="s">
        <v>161</v>
      </c>
      <c r="D638" t="s">
        <v>8</v>
      </c>
      <c r="E638" s="3" t="str">
        <f>HYPERLINK("http://www.otzar.org/book.asp?140941","ויהי בארבעים שנה - 2 כר'")</f>
        <v>ויהי בארבעים שנה - 2 כר'</v>
      </c>
    </row>
    <row r="639" spans="1:5" x14ac:dyDescent="0.2">
      <c r="A639" t="s">
        <v>1163</v>
      </c>
      <c r="B639" t="s">
        <v>108</v>
      </c>
      <c r="C639" t="s">
        <v>60</v>
      </c>
      <c r="D639" t="s">
        <v>380</v>
      </c>
      <c r="E639" s="3" t="str">
        <f>HYPERLINK("http://www.otzar.org/book.asp?27391","ויהי בישורון מלך")</f>
        <v>ויהי בישורון מלך</v>
      </c>
    </row>
    <row r="640" spans="1:5" x14ac:dyDescent="0.2">
      <c r="A640" t="s">
        <v>1164</v>
      </c>
      <c r="B640" t="s">
        <v>1165</v>
      </c>
      <c r="C640" t="s">
        <v>288</v>
      </c>
      <c r="D640" t="s">
        <v>8</v>
      </c>
      <c r="E640" s="3" t="str">
        <f>HYPERLINK("http://www.otzar.org/book.asp?630118","ויהי בשבעים שנה")</f>
        <v>ויהי בשבעים שנה</v>
      </c>
    </row>
    <row r="641" spans="1:5" x14ac:dyDescent="0.2">
      <c r="A641" t="s">
        <v>1166</v>
      </c>
      <c r="B641" t="s">
        <v>1167</v>
      </c>
      <c r="C641" t="s">
        <v>73</v>
      </c>
      <c r="D641" t="s">
        <v>166</v>
      </c>
      <c r="E641" s="3" t="str">
        <f>HYPERLINK("http://www.otzar.org/book.asp?189067","ויכוחא רבה &lt;מהדורה חדשה&gt;")</f>
        <v>ויכוחא רבה &lt;מהדורה חדשה&gt;</v>
      </c>
    </row>
    <row r="642" spans="1:5" x14ac:dyDescent="0.2">
      <c r="A642" t="s">
        <v>1168</v>
      </c>
      <c r="B642" t="s">
        <v>1169</v>
      </c>
      <c r="C642" t="s">
        <v>76</v>
      </c>
      <c r="D642" t="s">
        <v>8</v>
      </c>
      <c r="E642" s="3" t="str">
        <f>HYPERLINK("http://www.otzar.org/book.asp?608408","וינחם לבטח")</f>
        <v>וינחם לבטח</v>
      </c>
    </row>
    <row r="643" spans="1:5" x14ac:dyDescent="0.2">
      <c r="A643" t="s">
        <v>1170</v>
      </c>
      <c r="B643" t="s">
        <v>1171</v>
      </c>
      <c r="C643" t="s">
        <v>148</v>
      </c>
      <c r="D643" t="s">
        <v>556</v>
      </c>
      <c r="E643" s="3" t="str">
        <f>HYPERLINK("http://www.otzar.org/book.asp?612410","ויקרב משיחה")</f>
        <v>ויקרב משיחה</v>
      </c>
    </row>
    <row r="644" spans="1:5" x14ac:dyDescent="0.2">
      <c r="A644" t="s">
        <v>1172</v>
      </c>
      <c r="B644" t="s">
        <v>108</v>
      </c>
      <c r="C644" t="s">
        <v>73</v>
      </c>
      <c r="D644" t="s">
        <v>12</v>
      </c>
      <c r="E644" s="3" t="str">
        <f>HYPERLINK("http://www.otzar.org/book.asp?181659","וירא העם וינועו - 2 כר'")</f>
        <v>וירא העם וינועו - 2 כר'</v>
      </c>
    </row>
    <row r="645" spans="1:5" x14ac:dyDescent="0.2">
      <c r="A645" t="s">
        <v>1173</v>
      </c>
      <c r="B645" t="s">
        <v>1174</v>
      </c>
      <c r="C645" t="s">
        <v>47</v>
      </c>
      <c r="D645" t="s">
        <v>249</v>
      </c>
      <c r="E645" s="3" t="str">
        <f>HYPERLINK("http://www.otzar.org/book.asp?27285","וכפר אדמתו עמו")</f>
        <v>וכפר אדמתו עמו</v>
      </c>
    </row>
    <row r="646" spans="1:5" x14ac:dyDescent="0.2">
      <c r="A646" t="s">
        <v>1175</v>
      </c>
      <c r="B646" t="s">
        <v>336</v>
      </c>
      <c r="C646" t="s">
        <v>276</v>
      </c>
      <c r="D646" t="s">
        <v>12</v>
      </c>
      <c r="E646" s="3" t="str">
        <f>HYPERLINK("http://www.otzar.org/book.asp?27844","ומביא גואל")</f>
        <v>ומביא גואל</v>
      </c>
    </row>
    <row r="647" spans="1:5" x14ac:dyDescent="0.2">
      <c r="A647" t="s">
        <v>1176</v>
      </c>
      <c r="B647" t="s">
        <v>64</v>
      </c>
      <c r="C647" t="s">
        <v>477</v>
      </c>
      <c r="D647" t="s">
        <v>12</v>
      </c>
      <c r="E647" s="3" t="str">
        <f>HYPERLINK("http://www.otzar.org/book.asp?27014","ומעין מבית ד'")</f>
        <v>ומעין מבית ד'</v>
      </c>
    </row>
    <row r="648" spans="1:5" x14ac:dyDescent="0.2">
      <c r="A648" t="s">
        <v>1177</v>
      </c>
      <c r="B648" t="s">
        <v>1178</v>
      </c>
      <c r="C648" t="s">
        <v>350</v>
      </c>
      <c r="D648" t="s">
        <v>1179</v>
      </c>
      <c r="E648" s="3" t="str">
        <f>HYPERLINK("http://www.otzar.org/book.asp?607857","ונשמע פתגם המלך")</f>
        <v>ונשמע פתגם המלך</v>
      </c>
    </row>
    <row r="649" spans="1:5" x14ac:dyDescent="0.2">
      <c r="A649" t="s">
        <v>1177</v>
      </c>
      <c r="B649" t="s">
        <v>33</v>
      </c>
      <c r="C649" t="s">
        <v>11</v>
      </c>
      <c r="D649" t="s">
        <v>40</v>
      </c>
      <c r="E649" s="3" t="str">
        <f>HYPERLINK("http://www.otzar.org/book.asp?162860","ונשמע פתגם המלך")</f>
        <v>ונשמע פתגם המלך</v>
      </c>
    </row>
    <row r="650" spans="1:5" x14ac:dyDescent="0.2">
      <c r="A650" t="s">
        <v>1180</v>
      </c>
      <c r="B650" t="s">
        <v>427</v>
      </c>
      <c r="C650" t="s">
        <v>1181</v>
      </c>
      <c r="D650" t="s">
        <v>112</v>
      </c>
      <c r="E650" s="3" t="str">
        <f>HYPERLINK("http://www.otzar.org/book.asp?146294","ופרצת - 1-6")</f>
        <v>ופרצת - 1-6</v>
      </c>
    </row>
    <row r="651" spans="1:5" x14ac:dyDescent="0.2">
      <c r="A651" t="s">
        <v>1182</v>
      </c>
      <c r="B651" t="s">
        <v>224</v>
      </c>
      <c r="C651" t="s">
        <v>76</v>
      </c>
      <c r="D651" t="s">
        <v>40</v>
      </c>
      <c r="E651" s="3" t="str">
        <f>HYPERLINK("http://www.otzar.org/book.asp?145932","וצדיק יסוד עולם")</f>
        <v>וצדיק יסוד עולם</v>
      </c>
    </row>
    <row r="652" spans="1:5" x14ac:dyDescent="0.2">
      <c r="A652" t="s">
        <v>1183</v>
      </c>
      <c r="B652" t="s">
        <v>1184</v>
      </c>
      <c r="C652" t="s">
        <v>276</v>
      </c>
      <c r="D652" t="s">
        <v>12</v>
      </c>
      <c r="E652" s="3" t="str">
        <f>HYPERLINK("http://www.otzar.org/book.asp?607750","ורבים השיב מעוון - 2 כר'")</f>
        <v>ורבים השיב מעוון - 2 כר'</v>
      </c>
    </row>
    <row r="653" spans="1:5" x14ac:dyDescent="0.2">
      <c r="A653" t="s">
        <v>1185</v>
      </c>
      <c r="B653" t="s">
        <v>1186</v>
      </c>
      <c r="C653" t="s">
        <v>76</v>
      </c>
      <c r="D653" t="s">
        <v>19</v>
      </c>
      <c r="E653" s="3" t="str">
        <f>HYPERLINK("http://www.otzar.org/book.asp?607627","ושמו מרדכי")</f>
        <v>ושמו מרדכי</v>
      </c>
    </row>
    <row r="654" spans="1:5" x14ac:dyDescent="0.2">
      <c r="A654" t="s">
        <v>1187</v>
      </c>
      <c r="B654" t="s">
        <v>6</v>
      </c>
      <c r="C654" t="s">
        <v>350</v>
      </c>
      <c r="D654" t="s">
        <v>8</v>
      </c>
      <c r="E654" s="3" t="str">
        <f>HYPERLINK("http://www.otzar.org/book.asp?627069","ושמחת בחגך - חג הסוכות ה")</f>
        <v>ושמחת בחגך - חג הסוכות ה</v>
      </c>
    </row>
    <row r="655" spans="1:5" x14ac:dyDescent="0.2">
      <c r="A655" t="s">
        <v>1188</v>
      </c>
      <c r="B655" t="s">
        <v>1189</v>
      </c>
      <c r="C655" t="s">
        <v>11</v>
      </c>
      <c r="D655" t="s">
        <v>1190</v>
      </c>
      <c r="E655" s="3" t="str">
        <f>HYPERLINK("http://www.otzar.org/book.asp?162768","ושמרתם את המצות")</f>
        <v>ושמרתם את המצות</v>
      </c>
    </row>
    <row r="656" spans="1:5" x14ac:dyDescent="0.2">
      <c r="A656" t="s">
        <v>1191</v>
      </c>
      <c r="B656" t="s">
        <v>30</v>
      </c>
      <c r="C656" t="s">
        <v>477</v>
      </c>
      <c r="D656" t="s">
        <v>8</v>
      </c>
      <c r="E656" s="3" t="str">
        <f>HYPERLINK("http://www.otzar.org/book.asp?27648","זורע צדקות מצמיח ישועות")</f>
        <v>זורע צדקות מצמיח ישועות</v>
      </c>
    </row>
    <row r="657" spans="1:5" x14ac:dyDescent="0.2">
      <c r="A657" t="s">
        <v>1192</v>
      </c>
      <c r="B657" t="s">
        <v>1193</v>
      </c>
      <c r="C657" t="s">
        <v>488</v>
      </c>
      <c r="D657" t="s">
        <v>12</v>
      </c>
      <c r="E657" s="3" t="str">
        <f>HYPERLINK("http://www.otzar.org/book.asp?27847","זושא הפרטיזן")</f>
        <v>זושא הפרטיזן</v>
      </c>
    </row>
    <row r="658" spans="1:5" x14ac:dyDescent="0.2">
      <c r="A658" t="s">
        <v>1194</v>
      </c>
      <c r="B658" t="s">
        <v>881</v>
      </c>
      <c r="C658" t="s">
        <v>54</v>
      </c>
      <c r="D658" t="s">
        <v>12</v>
      </c>
      <c r="E658" s="3" t="str">
        <f>HYPERLINK("http://www.otzar.org/book.asp?614751","זושא של כולנו")</f>
        <v>זושא של כולנו</v>
      </c>
    </row>
    <row r="659" spans="1:5" x14ac:dyDescent="0.2">
      <c r="A659" t="s">
        <v>1195</v>
      </c>
      <c r="B659" t="s">
        <v>1196</v>
      </c>
      <c r="C659" t="s">
        <v>155</v>
      </c>
      <c r="D659" t="s">
        <v>8</v>
      </c>
      <c r="E659" s="3" t="str">
        <f>HYPERLINK("http://www.otzar.org/book.asp?27289","זיו השמות - 2 כר'")</f>
        <v>זיו השמות - 2 כר'</v>
      </c>
    </row>
    <row r="660" spans="1:5" x14ac:dyDescent="0.2">
      <c r="A660" t="s">
        <v>1197</v>
      </c>
      <c r="B660" t="s">
        <v>505</v>
      </c>
      <c r="C660" t="s">
        <v>213</v>
      </c>
      <c r="D660" t="s">
        <v>40</v>
      </c>
      <c r="E660" s="3" t="str">
        <f>HYPERLINK("http://www.otzar.org/book.asp?26487","זכור לאברהם")</f>
        <v>זכור לאברהם</v>
      </c>
    </row>
    <row r="661" spans="1:5" x14ac:dyDescent="0.2">
      <c r="A661" t="s">
        <v>1198</v>
      </c>
      <c r="B661" t="s">
        <v>1199</v>
      </c>
      <c r="C661" t="s">
        <v>165</v>
      </c>
      <c r="D661" t="s">
        <v>332</v>
      </c>
      <c r="E661" s="3" t="str">
        <f>HYPERLINK("http://www.otzar.org/book.asp?632034","זכור למרים")</f>
        <v>זכור למרים</v>
      </c>
    </row>
    <row r="662" spans="1:5" x14ac:dyDescent="0.2">
      <c r="A662" t="s">
        <v>1200</v>
      </c>
      <c r="B662" t="s">
        <v>1201</v>
      </c>
      <c r="C662" t="s">
        <v>22</v>
      </c>
      <c r="D662" t="s">
        <v>12</v>
      </c>
      <c r="E662" s="3" t="str">
        <f>HYPERLINK("http://www.otzar.org/book.asp?143348","זכר יהודה &lt;שו""ת מהרי""ל בטלן&gt;")</f>
        <v>זכר יהודה &lt;שו"ת מהרי"ל בטלן&gt;</v>
      </c>
    </row>
    <row r="663" spans="1:5" x14ac:dyDescent="0.2">
      <c r="A663" t="s">
        <v>1202</v>
      </c>
      <c r="B663" t="s">
        <v>1203</v>
      </c>
      <c r="C663" t="s">
        <v>350</v>
      </c>
      <c r="D663" t="s">
        <v>12</v>
      </c>
      <c r="E663" s="3" t="str">
        <f>HYPERLINK("http://www.otzar.org/book.asp?607755","זכר צדיק לברכה")</f>
        <v>זכר צדיק לברכה</v>
      </c>
    </row>
    <row r="664" spans="1:5" x14ac:dyDescent="0.2">
      <c r="A664" t="s">
        <v>1204</v>
      </c>
      <c r="B664" t="s">
        <v>1205</v>
      </c>
      <c r="C664" t="s">
        <v>34</v>
      </c>
      <c r="D664" t="s">
        <v>8</v>
      </c>
      <c r="E664" s="3" t="str">
        <f>HYPERLINK("http://www.otzar.org/book.asp?157266","זכרון הרז""ש דווארקין")</f>
        <v>זכרון הרז"ש דווארקין</v>
      </c>
    </row>
    <row r="665" spans="1:5" x14ac:dyDescent="0.2">
      <c r="A665" t="s">
        <v>1206</v>
      </c>
      <c r="B665" t="s">
        <v>1207</v>
      </c>
      <c r="C665" t="s">
        <v>327</v>
      </c>
      <c r="D665" t="s">
        <v>8</v>
      </c>
      <c r="E665" s="3" t="str">
        <f>HYPERLINK("http://www.otzar.org/book.asp?27626","זכרון הרש""ז גורארי'")</f>
        <v>זכרון הרש"ז גורארי'</v>
      </c>
    </row>
    <row r="666" spans="1:5" x14ac:dyDescent="0.2">
      <c r="A666" t="s">
        <v>1208</v>
      </c>
      <c r="B666" t="s">
        <v>1209</v>
      </c>
      <c r="C666" t="s">
        <v>301</v>
      </c>
      <c r="D666" t="s">
        <v>12</v>
      </c>
      <c r="E666" s="3" t="str">
        <f>HYPERLINK("http://www.otzar.org/book.asp?141532","זכרון יוסף יצחק")</f>
        <v>זכרון יוסף יצחק</v>
      </c>
    </row>
    <row r="667" spans="1:5" x14ac:dyDescent="0.2">
      <c r="A667" t="s">
        <v>1210</v>
      </c>
      <c r="B667" t="s">
        <v>1211</v>
      </c>
      <c r="C667" t="s">
        <v>155</v>
      </c>
      <c r="D667" t="s">
        <v>386</v>
      </c>
      <c r="E667" s="3" t="str">
        <f>HYPERLINK("http://www.otzar.org/book.asp?27266","זכרון יעקב קאפל ז""ל")</f>
        <v>זכרון יעקב קאפל ז"ל</v>
      </c>
    </row>
    <row r="668" spans="1:5" x14ac:dyDescent="0.2">
      <c r="A668" t="s">
        <v>1212</v>
      </c>
      <c r="B668" t="s">
        <v>1213</v>
      </c>
      <c r="C668" t="s">
        <v>213</v>
      </c>
      <c r="D668" t="s">
        <v>8</v>
      </c>
      <c r="E668" s="3" t="str">
        <f>HYPERLINK("http://www.otzar.org/book.asp?27659","זכרון יעקב")</f>
        <v>זכרון יעקב</v>
      </c>
    </row>
    <row r="669" spans="1:5" x14ac:dyDescent="0.2">
      <c r="A669" t="s">
        <v>1214</v>
      </c>
      <c r="B669" t="s">
        <v>1215</v>
      </c>
      <c r="C669" t="s">
        <v>350</v>
      </c>
      <c r="D669" t="s">
        <v>1179</v>
      </c>
      <c r="E669" s="3" t="str">
        <f>HYPERLINK("http://www.otzar.org/book.asp?607837","זכרון יצחק משה")</f>
        <v>זכרון יצחק משה</v>
      </c>
    </row>
    <row r="670" spans="1:5" x14ac:dyDescent="0.2">
      <c r="A670" t="s">
        <v>1216</v>
      </c>
      <c r="B670" t="s">
        <v>1217</v>
      </c>
      <c r="C670" t="s">
        <v>129</v>
      </c>
      <c r="D670" t="s">
        <v>8</v>
      </c>
      <c r="E670" s="3" t="str">
        <f>HYPERLINK("http://www.otzar.org/book.asp?27824","זכרון לבני ישראל")</f>
        <v>זכרון לבני ישראל</v>
      </c>
    </row>
    <row r="671" spans="1:5" x14ac:dyDescent="0.2">
      <c r="A671" t="s">
        <v>1218</v>
      </c>
      <c r="B671" t="s">
        <v>1219</v>
      </c>
      <c r="C671" t="s">
        <v>350</v>
      </c>
      <c r="D671" t="s">
        <v>19</v>
      </c>
      <c r="E671" s="3" t="str">
        <f>HYPERLINK("http://www.otzar.org/book.asp?614706","זכרון מנחם מאיר (א)")</f>
        <v>זכרון מנחם מאיר (א)</v>
      </c>
    </row>
    <row r="672" spans="1:5" x14ac:dyDescent="0.2">
      <c r="A672" t="s">
        <v>1220</v>
      </c>
      <c r="B672" t="s">
        <v>1219</v>
      </c>
      <c r="C672" t="s">
        <v>1221</v>
      </c>
      <c r="D672" t="s">
        <v>19</v>
      </c>
      <c r="E672" s="3" t="str">
        <f>HYPERLINK("http://www.otzar.org/book.asp?620713","זכרון מנחם מאיר (ב)")</f>
        <v>זכרון מנחם מאיר (ב)</v>
      </c>
    </row>
    <row r="673" spans="1:5" x14ac:dyDescent="0.2">
      <c r="A673" t="s">
        <v>1222</v>
      </c>
      <c r="B673" t="s">
        <v>1223</v>
      </c>
      <c r="C673" t="s">
        <v>213</v>
      </c>
      <c r="D673" t="s">
        <v>8</v>
      </c>
      <c r="E673" s="3" t="str">
        <f>HYPERLINK("http://www.otzar.org/book.asp?27609","זכרון רפאל משה")</f>
        <v>זכרון רפאל משה</v>
      </c>
    </row>
    <row r="674" spans="1:5" x14ac:dyDescent="0.2">
      <c r="A674" t="s">
        <v>1224</v>
      </c>
      <c r="B674" t="s">
        <v>1225</v>
      </c>
      <c r="C674" t="s">
        <v>122</v>
      </c>
      <c r="D674" t="s">
        <v>8</v>
      </c>
      <c r="E674" s="3" t="str">
        <f>HYPERLINK("http://www.otzar.org/book.asp?146552","זכרון שמואל")</f>
        <v>זכרון שמואל</v>
      </c>
    </row>
    <row r="675" spans="1:5" x14ac:dyDescent="0.2">
      <c r="A675" t="s">
        <v>1226</v>
      </c>
      <c r="B675" t="s">
        <v>1227</v>
      </c>
      <c r="C675" t="s">
        <v>165</v>
      </c>
      <c r="D675" t="s">
        <v>1228</v>
      </c>
      <c r="E675" s="3" t="str">
        <f>HYPERLINK("http://www.otzar.org/book.asp?27418","זכרונות אהרן - 2 כר'")</f>
        <v>זכרונות אהרן - 2 כר'</v>
      </c>
    </row>
    <row r="676" spans="1:5" x14ac:dyDescent="0.2">
      <c r="A676" t="s">
        <v>1229</v>
      </c>
      <c r="B676" t="s">
        <v>1230</v>
      </c>
      <c r="C676" t="s">
        <v>39</v>
      </c>
      <c r="D676" t="s">
        <v>463</v>
      </c>
      <c r="E676" s="3" t="str">
        <f>HYPERLINK("http://www.otzar.org/book.asp?142685","זכרונות הרב יהודה חיטריק")</f>
        <v>זכרונות הרב יהודה חיטריק</v>
      </c>
    </row>
    <row r="677" spans="1:5" x14ac:dyDescent="0.2">
      <c r="A677" t="s">
        <v>1231</v>
      </c>
      <c r="B677" t="s">
        <v>1232</v>
      </c>
      <c r="C677" t="s">
        <v>111</v>
      </c>
      <c r="D677" t="s">
        <v>40</v>
      </c>
      <c r="E677" s="3" t="str">
        <f>HYPERLINK("http://www.otzar.org/book.asp?26481","זכרונות וסיפורים")</f>
        <v>זכרונות וסיפורים</v>
      </c>
    </row>
    <row r="678" spans="1:5" x14ac:dyDescent="0.2">
      <c r="A678" t="s">
        <v>1233</v>
      </c>
      <c r="B678" t="s">
        <v>1234</v>
      </c>
      <c r="C678" t="s">
        <v>165</v>
      </c>
      <c r="D678" t="s">
        <v>8</v>
      </c>
      <c r="E678" s="3" t="str">
        <f>HYPERLINK("http://www.otzar.org/book.asp?26518","זכרונות פון גולאג")</f>
        <v>זכרונות פון גולאג</v>
      </c>
    </row>
    <row r="679" spans="1:5" x14ac:dyDescent="0.2">
      <c r="A679" t="s">
        <v>1235</v>
      </c>
      <c r="B679" t="s">
        <v>492</v>
      </c>
      <c r="E679" s="3" t="str">
        <f>HYPERLINK("http://www.otzar.org/book.asp?627083","זכרונות רבי יצחק מנחם מנדל ליס")</f>
        <v>זכרונות רבי יצחק מנחם מנדל ליס</v>
      </c>
    </row>
    <row r="680" spans="1:5" x14ac:dyDescent="0.2">
      <c r="A680" t="s">
        <v>1236</v>
      </c>
      <c r="B680" t="s">
        <v>1237</v>
      </c>
      <c r="C680" t="s">
        <v>119</v>
      </c>
      <c r="D680" t="s">
        <v>12</v>
      </c>
      <c r="E680" s="3" t="str">
        <f>HYPERLINK("http://www.otzar.org/book.asp?171726","זכרונותי")</f>
        <v>זכרונותי</v>
      </c>
    </row>
    <row r="681" spans="1:5" x14ac:dyDescent="0.2">
      <c r="A681" t="s">
        <v>1238</v>
      </c>
      <c r="B681" t="s">
        <v>642</v>
      </c>
      <c r="C681" t="s">
        <v>155</v>
      </c>
      <c r="D681" t="s">
        <v>40</v>
      </c>
      <c r="E681" s="3" t="str">
        <f>HYPERLINK("http://www.otzar.org/book.asp?26489","זכרונותי - 2 כר'")</f>
        <v>זכרונותי - 2 כר'</v>
      </c>
    </row>
    <row r="682" spans="1:5" x14ac:dyDescent="0.2">
      <c r="A682" t="s">
        <v>1239</v>
      </c>
      <c r="B682" t="s">
        <v>1239</v>
      </c>
      <c r="C682" t="s">
        <v>39</v>
      </c>
      <c r="D682" t="s">
        <v>332</v>
      </c>
      <c r="E682" s="3" t="str">
        <f>HYPERLINK("http://www.otzar.org/book.asp?173800","זמירות לשבת קודש ויום טוב")</f>
        <v>זמירות לשבת קודש ויום טוב</v>
      </c>
    </row>
    <row r="683" spans="1:5" x14ac:dyDescent="0.2">
      <c r="A683" t="s">
        <v>1240</v>
      </c>
      <c r="B683" t="s">
        <v>172</v>
      </c>
      <c r="C683" t="s">
        <v>11</v>
      </c>
      <c r="D683" t="s">
        <v>8</v>
      </c>
      <c r="E683" s="3" t="str">
        <f>HYPERLINK("http://www.otzar.org/book.asp?166465","זמן חרותינו")</f>
        <v>זמן חרותינו</v>
      </c>
    </row>
    <row r="684" spans="1:5" x14ac:dyDescent="0.2">
      <c r="A684" t="s">
        <v>1241</v>
      </c>
      <c r="B684" t="s">
        <v>664</v>
      </c>
      <c r="C684" t="s">
        <v>148</v>
      </c>
      <c r="D684" t="s">
        <v>8</v>
      </c>
      <c r="E684" s="3" t="str">
        <f>HYPERLINK("http://www.otzar.org/book.asp?28707","זמן חרותנו")</f>
        <v>זמן חרותנו</v>
      </c>
    </row>
    <row r="685" spans="1:5" x14ac:dyDescent="0.2">
      <c r="A685" t="s">
        <v>1242</v>
      </c>
      <c r="B685" t="s">
        <v>1243</v>
      </c>
      <c r="C685" t="s">
        <v>142</v>
      </c>
      <c r="D685" t="s">
        <v>12</v>
      </c>
      <c r="E685" s="3" t="str">
        <f>HYPERLINK("http://www.otzar.org/book.asp?611990","זמן שמחתנו")</f>
        <v>זמן שמחתנו</v>
      </c>
    </row>
    <row r="686" spans="1:5" x14ac:dyDescent="0.2">
      <c r="A686" t="s">
        <v>1244</v>
      </c>
      <c r="B686" t="s">
        <v>30</v>
      </c>
      <c r="C686" t="s">
        <v>126</v>
      </c>
      <c r="D686" t="s">
        <v>8</v>
      </c>
      <c r="E686" s="3" t="str">
        <f>HYPERLINK("http://www.otzar.org/book.asp?146338","ח""י אלול ה'תש""ג")</f>
        <v>ח"י אלול ה'תש"ג</v>
      </c>
    </row>
    <row r="687" spans="1:5" x14ac:dyDescent="0.2">
      <c r="A687" t="s">
        <v>1245</v>
      </c>
      <c r="B687" t="s">
        <v>1246</v>
      </c>
      <c r="C687" t="s">
        <v>1247</v>
      </c>
      <c r="D687" t="s">
        <v>92</v>
      </c>
      <c r="E687" s="3" t="str">
        <f>HYPERLINK("http://www.otzar.org/book.asp?145789","חב""ד ליובאוויטש - עסקנות ציבורית")</f>
        <v>חב"ד ליובאוויטש - עסקנות ציבורית</v>
      </c>
    </row>
    <row r="688" spans="1:5" x14ac:dyDescent="0.2">
      <c r="A688" t="s">
        <v>1248</v>
      </c>
      <c r="B688" t="s">
        <v>33</v>
      </c>
      <c r="C688" t="s">
        <v>44</v>
      </c>
      <c r="D688" t="s">
        <v>112</v>
      </c>
      <c r="E688" s="3" t="str">
        <f>HYPERLINK("http://www.otzar.org/book.asp?173847","חב""ד קריות ל""ה שנים")</f>
        <v>חב"ד קריות ל"ה שנים</v>
      </c>
    </row>
    <row r="689" spans="1:5" x14ac:dyDescent="0.2">
      <c r="A689" t="s">
        <v>1249</v>
      </c>
      <c r="B689" t="s">
        <v>303</v>
      </c>
      <c r="C689" t="s">
        <v>276</v>
      </c>
      <c r="D689" t="s">
        <v>12</v>
      </c>
      <c r="E689" s="3" t="str">
        <f>HYPERLINK("http://www.otzar.org/book.asp?26911","חברון עיר הקודש")</f>
        <v>חברון עיר הקודש</v>
      </c>
    </row>
    <row r="690" spans="1:5" x14ac:dyDescent="0.2">
      <c r="A690" t="s">
        <v>1250</v>
      </c>
      <c r="B690" t="s">
        <v>6</v>
      </c>
      <c r="C690" t="s">
        <v>73</v>
      </c>
      <c r="D690" t="s">
        <v>8</v>
      </c>
      <c r="E690" s="3" t="str">
        <f>HYPERLINK("http://www.otzar.org/book.asp?614958","חג האסיף")</f>
        <v>חג האסיף</v>
      </c>
    </row>
    <row r="691" spans="1:5" x14ac:dyDescent="0.2">
      <c r="A691" t="s">
        <v>1251</v>
      </c>
      <c r="B691" t="s">
        <v>108</v>
      </c>
      <c r="C691" t="s">
        <v>176</v>
      </c>
      <c r="D691" t="s">
        <v>775</v>
      </c>
      <c r="E691" s="3" t="str">
        <f>HYPERLINK("http://www.otzar.org/book.asp?9903","חג הגאולה - י""ט כסלו")</f>
        <v>חג הגאולה - י"ט כסלו</v>
      </c>
    </row>
    <row r="692" spans="1:5" x14ac:dyDescent="0.2">
      <c r="A692" t="s">
        <v>1252</v>
      </c>
      <c r="B692" t="s">
        <v>1253</v>
      </c>
      <c r="C692" t="s">
        <v>49</v>
      </c>
      <c r="D692" t="s">
        <v>8</v>
      </c>
      <c r="E692" s="3" t="str">
        <f>HYPERLINK("http://www.otzar.org/book.asp?27205","חגי ישראל ומועדיו - 2 כר'")</f>
        <v>חגי ישראל ומועדיו - 2 כר'</v>
      </c>
    </row>
    <row r="693" spans="1:5" x14ac:dyDescent="0.2">
      <c r="A693" t="s">
        <v>1254</v>
      </c>
      <c r="B693" t="s">
        <v>1255</v>
      </c>
      <c r="C693" t="s">
        <v>82</v>
      </c>
      <c r="D693" t="s">
        <v>12</v>
      </c>
      <c r="E693" s="3" t="str">
        <f>HYPERLINK("http://www.otzar.org/book.asp?196221","חגים וזמנים")</f>
        <v>חגים וזמנים</v>
      </c>
    </row>
    <row r="694" spans="1:5" x14ac:dyDescent="0.2">
      <c r="A694" t="s">
        <v>1256</v>
      </c>
      <c r="B694" t="s">
        <v>1257</v>
      </c>
      <c r="C694" t="s">
        <v>39</v>
      </c>
      <c r="D694" t="s">
        <v>12</v>
      </c>
      <c r="E694" s="3" t="str">
        <f>HYPERLINK("http://www.otzar.org/book.asp?140840","חגים וזמנים - חודש כסלו")</f>
        <v>חגים וזמנים - חודש כסלו</v>
      </c>
    </row>
    <row r="695" spans="1:5" x14ac:dyDescent="0.2">
      <c r="A695" t="s">
        <v>1258</v>
      </c>
      <c r="B695" t="s">
        <v>1259</v>
      </c>
      <c r="C695" t="s">
        <v>82</v>
      </c>
      <c r="D695" t="s">
        <v>8</v>
      </c>
      <c r="E695" s="3" t="str">
        <f>HYPERLINK("http://www.otzar.org/book.asp?607656","חגים")</f>
        <v>חגים</v>
      </c>
    </row>
    <row r="696" spans="1:5" x14ac:dyDescent="0.2">
      <c r="A696" t="s">
        <v>1260</v>
      </c>
      <c r="B696" t="s">
        <v>291</v>
      </c>
      <c r="C696" t="s">
        <v>76</v>
      </c>
      <c r="D696" t="s">
        <v>71</v>
      </c>
      <c r="E696" s="3" t="str">
        <f>HYPERLINK("http://www.otzar.org/book.asp?145950","חדש הגאולה - חנוכה")</f>
        <v>חדש הגאולה - חנוכה</v>
      </c>
    </row>
    <row r="697" spans="1:5" x14ac:dyDescent="0.2">
      <c r="A697" t="s">
        <v>1261</v>
      </c>
      <c r="B697" t="s">
        <v>1261</v>
      </c>
      <c r="C697" t="s">
        <v>111</v>
      </c>
      <c r="D697" t="s">
        <v>240</v>
      </c>
      <c r="E697" s="3" t="str">
        <f>HYPERLINK("http://www.otzar.org/book.asp?27556","חוברת גן ישראל")</f>
        <v>חוברת גן ישראל</v>
      </c>
    </row>
    <row r="698" spans="1:5" x14ac:dyDescent="0.2">
      <c r="A698" t="s">
        <v>1262</v>
      </c>
      <c r="B698" t="s">
        <v>1263</v>
      </c>
      <c r="C698" t="s">
        <v>15</v>
      </c>
      <c r="D698" t="s">
        <v>166</v>
      </c>
      <c r="E698" s="3" t="str">
        <f>HYPERLINK("http://www.otzar.org/book.asp?27588","חוברת לימודים")</f>
        <v>חוברת לימודים</v>
      </c>
    </row>
    <row r="699" spans="1:5" x14ac:dyDescent="0.2">
      <c r="A699" t="s">
        <v>1264</v>
      </c>
      <c r="B699" t="s">
        <v>108</v>
      </c>
      <c r="C699" t="s">
        <v>213</v>
      </c>
      <c r="D699" t="s">
        <v>8</v>
      </c>
      <c r="E699" s="3" t="str">
        <f>HYPERLINK("http://www.otzar.org/book.asp?146512","חוברת תפארת בנים")</f>
        <v>חוברת תפארת בנים</v>
      </c>
    </row>
    <row r="700" spans="1:5" x14ac:dyDescent="0.2">
      <c r="A700" t="s">
        <v>1265</v>
      </c>
      <c r="B700" t="s">
        <v>30</v>
      </c>
      <c r="C700" t="s">
        <v>73</v>
      </c>
      <c r="D700" t="s">
        <v>315</v>
      </c>
      <c r="E700" s="3" t="str">
        <f>HYPERLINK("http://www.otzar.org/book.asp?181102","חובת המחאה")</f>
        <v>חובת המחאה</v>
      </c>
    </row>
    <row r="701" spans="1:5" x14ac:dyDescent="0.2">
      <c r="A701" t="s">
        <v>1266</v>
      </c>
      <c r="B701" t="s">
        <v>33</v>
      </c>
      <c r="C701" t="s">
        <v>11</v>
      </c>
      <c r="D701" t="s">
        <v>19</v>
      </c>
      <c r="E701" s="3" t="str">
        <f>HYPERLINK("http://www.otzar.org/book.asp?164360","חודש תשרי בבית חיינו")</f>
        <v>חודש תשרי בבית חיינו</v>
      </c>
    </row>
    <row r="702" spans="1:5" x14ac:dyDescent="0.2">
      <c r="A702" t="s">
        <v>1267</v>
      </c>
      <c r="B702" t="s">
        <v>1268</v>
      </c>
      <c r="C702" t="s">
        <v>288</v>
      </c>
      <c r="D702" t="s">
        <v>139</v>
      </c>
      <c r="E702" s="3" t="str">
        <f>HYPERLINK("http://www.otzar.org/book.asp?631190","חוויות בעבודת ה' בספר התניא")</f>
        <v>חוויות בעבודת ה' בספר התניא</v>
      </c>
    </row>
    <row r="703" spans="1:5" x14ac:dyDescent="0.2">
      <c r="A703" t="s">
        <v>1269</v>
      </c>
      <c r="B703" t="s">
        <v>30</v>
      </c>
      <c r="C703" t="s">
        <v>327</v>
      </c>
      <c r="D703" t="s">
        <v>8</v>
      </c>
      <c r="E703" s="3" t="str">
        <f>HYPERLINK("http://www.otzar.org/book.asp?27867","חומש - 2 כר'")</f>
        <v>חומש - 2 כר'</v>
      </c>
    </row>
    <row r="704" spans="1:5" x14ac:dyDescent="0.2">
      <c r="A704" t="s">
        <v>1270</v>
      </c>
      <c r="B704" t="s">
        <v>1271</v>
      </c>
      <c r="C704" t="s">
        <v>54</v>
      </c>
      <c r="D704" t="s">
        <v>8</v>
      </c>
      <c r="E704" s="3" t="str">
        <f>HYPERLINK("http://www.otzar.org/book.asp?191902","חותמו של מלך")</f>
        <v>חותמו של מלך</v>
      </c>
    </row>
    <row r="705" spans="1:5" x14ac:dyDescent="0.2">
      <c r="A705" t="s">
        <v>1272</v>
      </c>
      <c r="B705" t="s">
        <v>10</v>
      </c>
      <c r="C705" t="s">
        <v>82</v>
      </c>
      <c r="D705" t="s">
        <v>80</v>
      </c>
      <c r="E705" s="3" t="str">
        <f>HYPERLINK("http://www.otzar.org/book.asp?607865","חזון למועד")</f>
        <v>חזון למועד</v>
      </c>
    </row>
    <row r="706" spans="1:5" x14ac:dyDescent="0.2">
      <c r="A706" t="s">
        <v>1273</v>
      </c>
      <c r="B706" t="s">
        <v>62</v>
      </c>
      <c r="C706" t="s">
        <v>111</v>
      </c>
      <c r="D706" t="s">
        <v>12</v>
      </c>
      <c r="E706" s="3" t="str">
        <f>HYPERLINK("http://www.otzar.org/book.asp?167723","חידושי צמח צדק על הש""ס - שבת")</f>
        <v>חידושי צמח צדק על הש"ס - שבת</v>
      </c>
    </row>
    <row r="707" spans="1:5" x14ac:dyDescent="0.2">
      <c r="A707" t="s">
        <v>1274</v>
      </c>
      <c r="B707" t="s">
        <v>30</v>
      </c>
      <c r="C707" t="s">
        <v>22</v>
      </c>
      <c r="D707" t="s">
        <v>8</v>
      </c>
      <c r="E707" s="3" t="str">
        <f>HYPERLINK("http://www.otzar.org/book.asp?143279","חידושים וביאורים במסכת גיטין - 3 כר'")</f>
        <v>חידושים וביאורים במסכת גיטין - 3 כר'</v>
      </c>
    </row>
    <row r="708" spans="1:5" x14ac:dyDescent="0.2">
      <c r="A708" t="s">
        <v>1275</v>
      </c>
      <c r="B708" t="s">
        <v>30</v>
      </c>
      <c r="C708" t="s">
        <v>60</v>
      </c>
      <c r="D708" t="s">
        <v>8</v>
      </c>
      <c r="E708" s="3" t="str">
        <f>HYPERLINK("http://www.otzar.org/book.asp?143328","חידושים וביאורים במסכת שבת")</f>
        <v>חידושים וביאורים במסכת שבת</v>
      </c>
    </row>
    <row r="709" spans="1:5" x14ac:dyDescent="0.2">
      <c r="A709" t="s">
        <v>1276</v>
      </c>
      <c r="B709" t="s">
        <v>30</v>
      </c>
      <c r="C709" t="s">
        <v>213</v>
      </c>
      <c r="D709" t="s">
        <v>19</v>
      </c>
      <c r="E709" s="3" t="str">
        <f>HYPERLINK("http://www.otzar.org/book.asp?141524","חידושים וביאורים בעניני קידושין ונישואין")</f>
        <v>חידושים וביאורים בעניני קידושין ונישואין</v>
      </c>
    </row>
    <row r="710" spans="1:5" x14ac:dyDescent="0.2">
      <c r="A710" t="s">
        <v>1277</v>
      </c>
      <c r="B710" t="s">
        <v>30</v>
      </c>
      <c r="C710" t="s">
        <v>88</v>
      </c>
      <c r="D710" t="s">
        <v>8</v>
      </c>
      <c r="E710" s="3" t="str">
        <f>HYPERLINK("http://www.otzar.org/book.asp?28797","חידושים וביאורים בש""ס ובדברי הרמב""ם - 3 כר'")</f>
        <v>חידושים וביאורים בש"ס ובדברי הרמב"ם - 3 כר'</v>
      </c>
    </row>
    <row r="711" spans="1:5" x14ac:dyDescent="0.2">
      <c r="A711" t="s">
        <v>1278</v>
      </c>
      <c r="B711" t="s">
        <v>30</v>
      </c>
      <c r="C711" t="s">
        <v>301</v>
      </c>
      <c r="D711" t="s">
        <v>8</v>
      </c>
      <c r="E711" s="3" t="str">
        <f>HYPERLINK("http://www.otzar.org/book.asp?145937","חידושים וביאורים על התורה - 4 כר'")</f>
        <v>חידושים וביאורים על התורה - 4 כר'</v>
      </c>
    </row>
    <row r="712" spans="1:5" x14ac:dyDescent="0.2">
      <c r="A712" t="s">
        <v>1279</v>
      </c>
      <c r="B712" t="s">
        <v>1280</v>
      </c>
      <c r="C712" t="s">
        <v>327</v>
      </c>
      <c r="D712" t="s">
        <v>654</v>
      </c>
      <c r="E712" s="3" t="str">
        <f>HYPERLINK("http://www.otzar.org/book.asp?160643","חידושים והערות בנגלה ובחסידות - 2 כר'")</f>
        <v>חידושים והערות בנגלה ובחסידות - 2 כר'</v>
      </c>
    </row>
    <row r="713" spans="1:5" x14ac:dyDescent="0.2">
      <c r="A713" t="s">
        <v>1281</v>
      </c>
      <c r="B713" t="s">
        <v>1282</v>
      </c>
      <c r="C713" t="s">
        <v>88</v>
      </c>
      <c r="D713" t="s">
        <v>40</v>
      </c>
      <c r="E713" s="3" t="str">
        <f>HYPERLINK("http://www.otzar.org/book.asp?145795","חידושים והערות בנגלה ובחסידות - 7 כר'")</f>
        <v>חידושים והערות בנגלה ובחסידות - 7 כר'</v>
      </c>
    </row>
    <row r="714" spans="1:5" x14ac:dyDescent="0.2">
      <c r="A714" t="s">
        <v>1283</v>
      </c>
      <c r="B714" t="s">
        <v>1284</v>
      </c>
      <c r="C714" t="s">
        <v>155</v>
      </c>
      <c r="D714" t="s">
        <v>1285</v>
      </c>
      <c r="E714" s="3" t="str">
        <f>HYPERLINK("http://www.otzar.org/book.asp?142740","חידושים והערות בנגלה ובחסידות - ה")</f>
        <v>חידושים והערות בנגלה ובחסידות - ה</v>
      </c>
    </row>
    <row r="715" spans="1:5" x14ac:dyDescent="0.2">
      <c r="A715" t="s">
        <v>1286</v>
      </c>
      <c r="B715" t="s">
        <v>30</v>
      </c>
      <c r="C715" t="s">
        <v>183</v>
      </c>
      <c r="D715" t="s">
        <v>8</v>
      </c>
      <c r="E715" s="3" t="str">
        <f>HYPERLINK("http://www.otzar.org/book.asp?27581","חידושים והערות על מסכת כתובות")</f>
        <v>חידושים והערות על מסכת כתובות</v>
      </c>
    </row>
    <row r="716" spans="1:5" x14ac:dyDescent="0.2">
      <c r="A716" t="s">
        <v>1287</v>
      </c>
      <c r="B716" t="s">
        <v>1288</v>
      </c>
      <c r="C716" t="s">
        <v>327</v>
      </c>
      <c r="D716" t="s">
        <v>19</v>
      </c>
      <c r="E716" s="3" t="str">
        <f>HYPERLINK("http://www.otzar.org/book.asp?141340","חידושים ורעיונות")</f>
        <v>חידושים ורעיונות</v>
      </c>
    </row>
    <row r="717" spans="1:5" x14ac:dyDescent="0.2">
      <c r="A717" t="s">
        <v>1289</v>
      </c>
      <c r="B717" t="s">
        <v>30</v>
      </c>
      <c r="C717" t="s">
        <v>183</v>
      </c>
      <c r="D717" t="s">
        <v>8</v>
      </c>
      <c r="E717" s="3" t="str">
        <f>HYPERLINK("http://www.otzar.org/book.asp?146336","חיי הצדיק במשנת החסידות")</f>
        <v>חיי הצדיק במשנת החסידות</v>
      </c>
    </row>
    <row r="718" spans="1:5" x14ac:dyDescent="0.2">
      <c r="A718" t="s">
        <v>1290</v>
      </c>
      <c r="B718" t="s">
        <v>1291</v>
      </c>
      <c r="C718" t="s">
        <v>18</v>
      </c>
      <c r="D718" t="s">
        <v>8</v>
      </c>
      <c r="E718" s="3" t="str">
        <f>HYPERLINK("http://www.otzar.org/book.asp?28768","חייל בשרות הרבי")</f>
        <v>חייל בשרות הרבי</v>
      </c>
    </row>
    <row r="719" spans="1:5" x14ac:dyDescent="0.2">
      <c r="A719" t="s">
        <v>1292</v>
      </c>
      <c r="B719" t="s">
        <v>108</v>
      </c>
      <c r="C719" t="s">
        <v>155</v>
      </c>
      <c r="D719" t="s">
        <v>816</v>
      </c>
      <c r="E719" s="3" t="str">
        <f>HYPERLINK("http://www.otzar.org/book.asp?27348","חיילי המלך")</f>
        <v>חיילי המלך</v>
      </c>
    </row>
    <row r="720" spans="1:5" x14ac:dyDescent="0.2">
      <c r="A720" t="s">
        <v>1293</v>
      </c>
      <c r="B720" t="s">
        <v>1209</v>
      </c>
      <c r="C720" t="s">
        <v>34</v>
      </c>
      <c r="D720" t="s">
        <v>12</v>
      </c>
      <c r="E720" s="3" t="str">
        <f>HYPERLINK("http://www.otzar.org/book.asp?614913","חיים של חסד")</f>
        <v>חיים של חסד</v>
      </c>
    </row>
    <row r="721" spans="1:5" x14ac:dyDescent="0.2">
      <c r="A721" t="s">
        <v>1294</v>
      </c>
      <c r="B721" t="s">
        <v>1295</v>
      </c>
      <c r="C721" t="s">
        <v>18</v>
      </c>
      <c r="D721" t="s">
        <v>19</v>
      </c>
      <c r="E721" s="3" t="str">
        <f>HYPERLINK("http://www.otzar.org/book.asp?27414","חינוך למעשה")</f>
        <v>חינוך למעשה</v>
      </c>
    </row>
    <row r="722" spans="1:5" x14ac:dyDescent="0.2">
      <c r="A722" t="s">
        <v>1294</v>
      </c>
      <c r="B722" t="s">
        <v>1296</v>
      </c>
      <c r="C722" t="s">
        <v>18</v>
      </c>
      <c r="D722" t="s">
        <v>8</v>
      </c>
      <c r="E722" s="3" t="str">
        <f>HYPERLINK("http://www.otzar.org/book.asp?27555","חינוך למעשה")</f>
        <v>חינוך למעשה</v>
      </c>
    </row>
    <row r="723" spans="1:5" x14ac:dyDescent="0.2">
      <c r="A723" t="s">
        <v>1297</v>
      </c>
      <c r="B723" t="s">
        <v>1298</v>
      </c>
      <c r="C723" t="s">
        <v>65</v>
      </c>
      <c r="D723" t="s">
        <v>166</v>
      </c>
      <c r="E723" s="3" t="str">
        <f>HYPERLINK("http://www.otzar.org/book.asp?140839","חכם שמואל")</f>
        <v>חכם שמואל</v>
      </c>
    </row>
    <row r="724" spans="1:5" x14ac:dyDescent="0.2">
      <c r="A724" t="s">
        <v>1299</v>
      </c>
      <c r="B724" t="s">
        <v>1300</v>
      </c>
      <c r="C724" t="s">
        <v>111</v>
      </c>
      <c r="D724" t="s">
        <v>40</v>
      </c>
      <c r="E724" s="3" t="str">
        <f>HYPERLINK("http://www.otzar.org/book.asp?26967","חכמת הטהרה")</f>
        <v>חכמת הטהרה</v>
      </c>
    </row>
    <row r="725" spans="1:5" x14ac:dyDescent="0.2">
      <c r="A725" t="s">
        <v>1301</v>
      </c>
      <c r="B725" t="s">
        <v>1302</v>
      </c>
      <c r="C725" t="s">
        <v>18</v>
      </c>
      <c r="D725" t="s">
        <v>40</v>
      </c>
      <c r="E725" s="3" t="str">
        <f>HYPERLINK("http://www.otzar.org/book.asp?27039","חכמת לבה של נחמה גרייזמאן")</f>
        <v>חכמת לבה של נחמה גרייזמאן</v>
      </c>
    </row>
    <row r="726" spans="1:5" x14ac:dyDescent="0.2">
      <c r="A726" t="s">
        <v>1303</v>
      </c>
      <c r="B726" t="s">
        <v>969</v>
      </c>
      <c r="C726" t="s">
        <v>76</v>
      </c>
      <c r="D726" t="s">
        <v>19</v>
      </c>
      <c r="E726" s="3" t="str">
        <f>HYPERLINK("http://www.otzar.org/book.asp?27554","חכמת נשים בנתה ביתה")</f>
        <v>חכמת נשים בנתה ביתה</v>
      </c>
    </row>
    <row r="727" spans="1:5" x14ac:dyDescent="0.2">
      <c r="A727" t="s">
        <v>1304</v>
      </c>
      <c r="B727" t="s">
        <v>1305</v>
      </c>
      <c r="C727" t="s">
        <v>142</v>
      </c>
      <c r="D727" t="s">
        <v>19</v>
      </c>
      <c r="E727" s="3" t="str">
        <f>HYPERLINK("http://www.otzar.org/book.asp?613916","חלקי ה' אמרה נפשי")</f>
        <v>חלקי ה' אמרה נפשי</v>
      </c>
    </row>
    <row r="728" spans="1:5" x14ac:dyDescent="0.2">
      <c r="A728" t="s">
        <v>1306</v>
      </c>
      <c r="B728" t="s">
        <v>1307</v>
      </c>
      <c r="C728" t="s">
        <v>31</v>
      </c>
      <c r="D728" t="s">
        <v>12</v>
      </c>
      <c r="E728" s="3" t="str">
        <f>HYPERLINK("http://www.otzar.org/book.asp?143354","חלקת אשר")</f>
        <v>חלקת אשר</v>
      </c>
    </row>
    <row r="729" spans="1:5" x14ac:dyDescent="0.2">
      <c r="A729" t="s">
        <v>1308</v>
      </c>
      <c r="B729" t="s">
        <v>1309</v>
      </c>
      <c r="C729" t="s">
        <v>1310</v>
      </c>
      <c r="D729" t="s">
        <v>1311</v>
      </c>
      <c r="E729" s="3" t="str">
        <f>HYPERLINK("http://www.otzar.org/book.asp?16031","חמדה גנוזה")</f>
        <v>חמדה גנוזה</v>
      </c>
    </row>
    <row r="730" spans="1:5" x14ac:dyDescent="0.2">
      <c r="A730" t="s">
        <v>1312</v>
      </c>
      <c r="B730" t="s">
        <v>108</v>
      </c>
      <c r="C730" t="s">
        <v>183</v>
      </c>
      <c r="D730" t="s">
        <v>788</v>
      </c>
      <c r="E730" s="3" t="str">
        <f>HYPERLINK("http://www.otzar.org/book.asp?146159","חמישים לחמישים")</f>
        <v>חמישים לחמישים</v>
      </c>
    </row>
    <row r="731" spans="1:5" x14ac:dyDescent="0.2">
      <c r="A731" t="s">
        <v>1313</v>
      </c>
      <c r="B731" t="s">
        <v>1314</v>
      </c>
      <c r="C731" t="s">
        <v>15</v>
      </c>
      <c r="D731" t="s">
        <v>8</v>
      </c>
      <c r="E731" s="3" t="str">
        <f>HYPERLINK("http://www.otzar.org/book.asp?607774","חמשה חומשי תורה (תרגום ופירוש באנגלית)")</f>
        <v>חמשה חומשי תורה (תרגום ופירוש באנגלית)</v>
      </c>
    </row>
    <row r="732" spans="1:5" x14ac:dyDescent="0.2">
      <c r="A732" t="s">
        <v>1315</v>
      </c>
      <c r="B732" t="s">
        <v>30</v>
      </c>
      <c r="C732" t="s">
        <v>148</v>
      </c>
      <c r="D732" t="s">
        <v>8</v>
      </c>
      <c r="E732" s="3" t="str">
        <f>HYPERLINK("http://www.otzar.org/book.asp?29327","חמשה חומשי תורה ע""פ אור מנחם - 2 כר'")</f>
        <v>חמשה חומשי תורה ע"פ אור מנחם - 2 כר'</v>
      </c>
    </row>
    <row r="733" spans="1:5" x14ac:dyDescent="0.2">
      <c r="A733" t="s">
        <v>1316</v>
      </c>
      <c r="B733" t="s">
        <v>30</v>
      </c>
      <c r="C733" t="s">
        <v>327</v>
      </c>
      <c r="D733" t="s">
        <v>8</v>
      </c>
      <c r="E733" s="3" t="str">
        <f>HYPERLINK("http://www.otzar.org/book.asp?28825","חמשה חומשי תורה עם פירוש אנגלי - 5 כר'")</f>
        <v>חמשה חומשי תורה עם פירוש אנגלי - 5 כר'</v>
      </c>
    </row>
    <row r="734" spans="1:5" x14ac:dyDescent="0.2">
      <c r="A734" t="s">
        <v>1317</v>
      </c>
      <c r="B734" t="s">
        <v>1318</v>
      </c>
      <c r="C734" t="s">
        <v>39</v>
      </c>
      <c r="D734" t="s">
        <v>40</v>
      </c>
      <c r="E734" s="3" t="str">
        <f>HYPERLINK("http://www.otzar.org/book.asp?142717","חמשה חומשי תורה עם תורת מנחם - א")</f>
        <v>חמשה חומשי תורה עם תורת מנחם - א</v>
      </c>
    </row>
    <row r="735" spans="1:5" x14ac:dyDescent="0.2">
      <c r="A735" t="s">
        <v>1319</v>
      </c>
      <c r="B735" t="s">
        <v>30</v>
      </c>
      <c r="C735" t="s">
        <v>165</v>
      </c>
      <c r="D735" t="s">
        <v>8</v>
      </c>
      <c r="E735" s="3" t="str">
        <f>HYPERLINK("http://www.otzar.org/book.asp?28819","חמשה חומשי תורה - חבד")</f>
        <v>חמשה חומשי תורה - חבד</v>
      </c>
    </row>
    <row r="736" spans="1:5" x14ac:dyDescent="0.2">
      <c r="A736" t="s">
        <v>1320</v>
      </c>
      <c r="B736" t="s">
        <v>1321</v>
      </c>
      <c r="C736" t="s">
        <v>1322</v>
      </c>
      <c r="D736" t="s">
        <v>1323</v>
      </c>
      <c r="E736" s="3" t="str">
        <f>HYPERLINK("http://www.otzar.org/book.asp?105868","חנה אריאל - 3 כר'")</f>
        <v>חנה אריאל - 3 כר'</v>
      </c>
    </row>
    <row r="737" spans="1:5" x14ac:dyDescent="0.2">
      <c r="A737" t="s">
        <v>1324</v>
      </c>
      <c r="B737" t="s">
        <v>1043</v>
      </c>
      <c r="C737" t="s">
        <v>15</v>
      </c>
      <c r="D737" t="s">
        <v>12</v>
      </c>
      <c r="E737" s="3" t="str">
        <f>HYPERLINK("http://www.otzar.org/book.asp?195656","חנה")</f>
        <v>חנה</v>
      </c>
    </row>
    <row r="738" spans="1:5" x14ac:dyDescent="0.2">
      <c r="A738" t="s">
        <v>1325</v>
      </c>
      <c r="B738" t="s">
        <v>64</v>
      </c>
      <c r="C738" t="s">
        <v>1326</v>
      </c>
      <c r="D738" t="s">
        <v>92</v>
      </c>
      <c r="E738" s="3" t="str">
        <f>HYPERLINK("http://www.otzar.org/book.asp?102464","חנוך לנער - 2 כר'")</f>
        <v>חנוך לנער - 2 כר'</v>
      </c>
    </row>
    <row r="739" spans="1:5" x14ac:dyDescent="0.2">
      <c r="A739" t="s">
        <v>1327</v>
      </c>
      <c r="B739" t="s">
        <v>842</v>
      </c>
      <c r="C739" t="s">
        <v>15</v>
      </c>
      <c r="D739" t="s">
        <v>12</v>
      </c>
      <c r="E739" s="3" t="str">
        <f>HYPERLINK("http://www.otzar.org/book.asp?607949","חנוכת הבית - מדריך יהודי לכניסה לבית חדש")</f>
        <v>חנוכת הבית - מדריך יהודי לכניסה לבית חדש</v>
      </c>
    </row>
    <row r="740" spans="1:5" x14ac:dyDescent="0.2">
      <c r="A740" t="s">
        <v>1328</v>
      </c>
      <c r="B740" t="s">
        <v>348</v>
      </c>
      <c r="C740" t="s">
        <v>73</v>
      </c>
      <c r="D740" t="s">
        <v>40</v>
      </c>
      <c r="E740" s="3" t="str">
        <f>HYPERLINK("http://www.otzar.org/book.asp?181506","חסיד במעשיו - ר' זלמן יואל לבנהרץ")</f>
        <v>חסיד במעשיו - ר' זלמן יואל לבנהרץ</v>
      </c>
    </row>
    <row r="741" spans="1:5" x14ac:dyDescent="0.2">
      <c r="A741" t="s">
        <v>1329</v>
      </c>
      <c r="B741" t="s">
        <v>348</v>
      </c>
      <c r="C741" t="s">
        <v>86</v>
      </c>
      <c r="D741" t="s">
        <v>12</v>
      </c>
      <c r="E741" s="3" t="str">
        <f>HYPERLINK("http://www.otzar.org/book.asp?143247","חסיד נאמן")</f>
        <v>חסיד נאמן</v>
      </c>
    </row>
    <row r="742" spans="1:5" x14ac:dyDescent="0.2">
      <c r="A742" t="s">
        <v>1330</v>
      </c>
      <c r="B742" t="s">
        <v>1331</v>
      </c>
      <c r="C742" t="s">
        <v>60</v>
      </c>
      <c r="D742" t="s">
        <v>19</v>
      </c>
      <c r="E742" s="3" t="str">
        <f>HYPERLINK("http://www.otzar.org/book.asp?145469","חסידות אין סוף")</f>
        <v>חסידות אין סוף</v>
      </c>
    </row>
    <row r="743" spans="1:5" x14ac:dyDescent="0.2">
      <c r="A743" t="s">
        <v>1332</v>
      </c>
      <c r="B743" t="s">
        <v>1333</v>
      </c>
      <c r="C743" t="s">
        <v>22</v>
      </c>
      <c r="D743" t="s">
        <v>71</v>
      </c>
      <c r="E743" s="3" t="str">
        <f>HYPERLINK("http://www.otzar.org/book.asp?143313","חסידות חב""ד בחברון")</f>
        <v>חסידות חב"ד בחברון</v>
      </c>
    </row>
    <row r="744" spans="1:5" x14ac:dyDescent="0.2">
      <c r="A744" t="s">
        <v>1334</v>
      </c>
      <c r="C744" t="s">
        <v>165</v>
      </c>
      <c r="D744" t="s">
        <v>8</v>
      </c>
      <c r="E744" s="3" t="str">
        <f>HYPERLINK("http://www.otzar.org/book.asp?146260","חסידות מבוארת - מאמר כיצד מרקדין ומאמר והדרת פני זקן")</f>
        <v>חסידות מבוארת - מאמר כיצד מרקדין ומאמר והדרת פני זקן</v>
      </c>
    </row>
    <row r="745" spans="1:5" x14ac:dyDescent="0.2">
      <c r="A745" t="s">
        <v>1335</v>
      </c>
      <c r="B745" t="s">
        <v>38</v>
      </c>
      <c r="C745" t="s">
        <v>73</v>
      </c>
      <c r="D745" t="s">
        <v>8</v>
      </c>
      <c r="E745" s="3" t="str">
        <f>HYPERLINK("http://www.otzar.org/book.asp?181097","חסידי הבעש""ט בראשית דרכם")</f>
        <v>חסידי הבעש"ט בראשית דרכם</v>
      </c>
    </row>
    <row r="746" spans="1:5" x14ac:dyDescent="0.2">
      <c r="A746" t="s">
        <v>1336</v>
      </c>
      <c r="B746" t="s">
        <v>1337</v>
      </c>
      <c r="C746" t="s">
        <v>129</v>
      </c>
      <c r="D746" t="s">
        <v>8</v>
      </c>
      <c r="E746" s="3" t="str">
        <f>HYPERLINK("http://www.otzar.org/book.asp?28787","חסידים איין משפחה - 4 כר'")</f>
        <v>חסידים איין משפחה - 4 כר'</v>
      </c>
    </row>
    <row r="747" spans="1:5" x14ac:dyDescent="0.2">
      <c r="A747" t="s">
        <v>1338</v>
      </c>
      <c r="B747" t="s">
        <v>370</v>
      </c>
      <c r="C747" t="s">
        <v>165</v>
      </c>
      <c r="D747" t="s">
        <v>12</v>
      </c>
      <c r="E747" s="3" t="str">
        <f>HYPERLINK("http://www.otzar.org/book.asp?27170","חסידים הראשונים - 2 כר'")</f>
        <v>חסידים הראשונים - 2 כר'</v>
      </c>
    </row>
    <row r="748" spans="1:5" x14ac:dyDescent="0.2">
      <c r="A748" t="s">
        <v>1339</v>
      </c>
      <c r="B748" t="s">
        <v>336</v>
      </c>
      <c r="C748" t="s">
        <v>165</v>
      </c>
      <c r="D748" t="s">
        <v>12</v>
      </c>
      <c r="E748" s="3" t="str">
        <f>HYPERLINK("http://www.otzar.org/book.asp?27832","חסידים ואנשי אמת")</f>
        <v>חסידים ואנשי אמת</v>
      </c>
    </row>
    <row r="749" spans="1:5" x14ac:dyDescent="0.2">
      <c r="A749" t="s">
        <v>1340</v>
      </c>
      <c r="B749" t="s">
        <v>566</v>
      </c>
      <c r="C749" t="s">
        <v>7</v>
      </c>
      <c r="D749" t="s">
        <v>12</v>
      </c>
      <c r="E749" s="3" t="str">
        <f>HYPERLINK("http://www.otzar.org/book.asp?630139","חקרי הלכות - 2 כר'")</f>
        <v>חקרי הלכות - 2 כר'</v>
      </c>
    </row>
    <row r="750" spans="1:5" x14ac:dyDescent="0.2">
      <c r="A750" t="s">
        <v>1341</v>
      </c>
      <c r="B750" t="s">
        <v>175</v>
      </c>
      <c r="C750" t="s">
        <v>1342</v>
      </c>
      <c r="D750" t="s">
        <v>92</v>
      </c>
      <c r="E750" s="3" t="str">
        <f>HYPERLINK("http://www.otzar.org/book.asp?8411","חקרי הלכות - 7 כר'")</f>
        <v>חקרי הלכות - 7 כר'</v>
      </c>
    </row>
    <row r="751" spans="1:5" x14ac:dyDescent="0.2">
      <c r="A751" t="s">
        <v>1343</v>
      </c>
      <c r="B751" t="s">
        <v>566</v>
      </c>
      <c r="C751" t="s">
        <v>276</v>
      </c>
      <c r="D751" t="s">
        <v>12</v>
      </c>
      <c r="E751" s="3" t="str">
        <f>HYPERLINK("http://www.otzar.org/book.asp?28748","חקרי מנהגים - 8 כר'")</f>
        <v>חקרי מנהגים - 8 כר'</v>
      </c>
    </row>
    <row r="752" spans="1:5" x14ac:dyDescent="0.2">
      <c r="A752" t="s">
        <v>1344</v>
      </c>
      <c r="B752" t="s">
        <v>1345</v>
      </c>
      <c r="C752" t="s">
        <v>76</v>
      </c>
      <c r="D752" t="s">
        <v>101</v>
      </c>
      <c r="E752" s="3" t="str">
        <f>HYPERLINK("http://www.otzar.org/book.asp?27845","חשבונו של עולם")</f>
        <v>חשבונו של עולם</v>
      </c>
    </row>
    <row r="753" spans="1:5" x14ac:dyDescent="0.2">
      <c r="A753" t="s">
        <v>1346</v>
      </c>
      <c r="B753" t="s">
        <v>1016</v>
      </c>
      <c r="C753" t="s">
        <v>191</v>
      </c>
      <c r="D753" t="s">
        <v>240</v>
      </c>
      <c r="E753" s="3" t="str">
        <f>HYPERLINK("http://www.otzar.org/book.asp?158601","חשוב טוב")</f>
        <v>חשוב טוב</v>
      </c>
    </row>
    <row r="754" spans="1:5" x14ac:dyDescent="0.2">
      <c r="A754" t="s">
        <v>1347</v>
      </c>
      <c r="B754" t="s">
        <v>1348</v>
      </c>
      <c r="C754" t="s">
        <v>165</v>
      </c>
      <c r="D754" t="s">
        <v>8</v>
      </c>
      <c r="E754" s="3" t="str">
        <f>HYPERLINK("http://www.otzar.org/book.asp?28823","חת""ת")</f>
        <v>חת"ת</v>
      </c>
    </row>
    <row r="755" spans="1:5" x14ac:dyDescent="0.2">
      <c r="A755" t="s">
        <v>1349</v>
      </c>
      <c r="B755" t="s">
        <v>1350</v>
      </c>
      <c r="C755" t="s">
        <v>67</v>
      </c>
      <c r="D755" t="s">
        <v>12</v>
      </c>
      <c r="E755" s="3" t="str">
        <f>HYPERLINK("http://www.otzar.org/book.asp?142749","טבריה עיר הקודש")</f>
        <v>טבריה עיר הקודש</v>
      </c>
    </row>
    <row r="756" spans="1:5" x14ac:dyDescent="0.2">
      <c r="A756" t="s">
        <v>1349</v>
      </c>
      <c r="B756" t="s">
        <v>30</v>
      </c>
      <c r="C756" t="s">
        <v>67</v>
      </c>
      <c r="D756" t="s">
        <v>12</v>
      </c>
      <c r="E756" s="3" t="str">
        <f>HYPERLINK("http://www.otzar.org/book.asp?140932","טבריה עיר הקודש")</f>
        <v>טבריה עיר הקודש</v>
      </c>
    </row>
    <row r="757" spans="1:5" x14ac:dyDescent="0.2">
      <c r="A757" t="s">
        <v>1351</v>
      </c>
      <c r="B757" t="s">
        <v>1352</v>
      </c>
      <c r="C757" t="s">
        <v>111</v>
      </c>
      <c r="D757" t="s">
        <v>40</v>
      </c>
      <c r="E757" s="3" t="str">
        <f>HYPERLINK("http://www.otzar.org/book.asp?26965","טהרה כהלכה - 2 כר'")</f>
        <v>טהרה כהלכה - 2 כר'</v>
      </c>
    </row>
    <row r="758" spans="1:5" x14ac:dyDescent="0.2">
      <c r="A758" t="s">
        <v>1353</v>
      </c>
      <c r="B758" t="s">
        <v>1354</v>
      </c>
      <c r="C758" t="s">
        <v>126</v>
      </c>
      <c r="D758" t="s">
        <v>8</v>
      </c>
      <c r="E758" s="3" t="str">
        <f>HYPERLINK("http://www.otzar.org/book.asp?27027","טהרת מים")</f>
        <v>טהרת מים</v>
      </c>
    </row>
    <row r="759" spans="1:5" x14ac:dyDescent="0.2">
      <c r="A759" t="s">
        <v>1355</v>
      </c>
      <c r="B759" t="s">
        <v>1354</v>
      </c>
      <c r="C759" t="s">
        <v>148</v>
      </c>
      <c r="D759" t="s">
        <v>8</v>
      </c>
      <c r="E759" s="3" t="str">
        <f>HYPERLINK("http://www.otzar.org/book.asp?143584","טהרת ניסן")</f>
        <v>טהרת ניסן</v>
      </c>
    </row>
    <row r="760" spans="1:5" x14ac:dyDescent="0.2">
      <c r="A760" t="s">
        <v>1356</v>
      </c>
      <c r="B760" t="s">
        <v>108</v>
      </c>
      <c r="C760" t="s">
        <v>39</v>
      </c>
      <c r="D760" t="s">
        <v>654</v>
      </c>
      <c r="E760" s="3" t="str">
        <f>HYPERLINK("http://www.otzar.org/book.asp?142713","טובת בחיריך")</f>
        <v>טובת בחיריך</v>
      </c>
    </row>
    <row r="761" spans="1:5" x14ac:dyDescent="0.2">
      <c r="A761" t="s">
        <v>1357</v>
      </c>
      <c r="B761" t="s">
        <v>1358</v>
      </c>
      <c r="C761" t="s">
        <v>82</v>
      </c>
      <c r="D761" t="s">
        <v>12</v>
      </c>
      <c r="E761" s="3" t="str">
        <f>HYPERLINK("http://www.otzar.org/book.asp?196297","טיפת חינוך יומית")</f>
        <v>טיפת חינוך יומית</v>
      </c>
    </row>
    <row r="762" spans="1:5" x14ac:dyDescent="0.2">
      <c r="A762" t="s">
        <v>1359</v>
      </c>
      <c r="B762" t="s">
        <v>1178</v>
      </c>
      <c r="C762" t="s">
        <v>39</v>
      </c>
      <c r="D762" t="s">
        <v>315</v>
      </c>
      <c r="E762" s="3" t="str">
        <f>HYPERLINK("http://www.otzar.org/book.asp?142192","טללי תשובה")</f>
        <v>טללי תשובה</v>
      </c>
    </row>
    <row r="763" spans="1:5" x14ac:dyDescent="0.2">
      <c r="A763" t="s">
        <v>1360</v>
      </c>
      <c r="B763" t="s">
        <v>1361</v>
      </c>
      <c r="C763" t="s">
        <v>44</v>
      </c>
      <c r="D763" t="s">
        <v>19</v>
      </c>
      <c r="E763" s="3" t="str">
        <f>HYPERLINK("http://www.otzar.org/book.asp?175925","טעימות")</f>
        <v>טעימות</v>
      </c>
    </row>
    <row r="764" spans="1:5" x14ac:dyDescent="0.2">
      <c r="A764" t="s">
        <v>1362</v>
      </c>
      <c r="B764" t="s">
        <v>908</v>
      </c>
      <c r="C764" t="s">
        <v>54</v>
      </c>
      <c r="D764" t="s">
        <v>12</v>
      </c>
      <c r="E764" s="3" t="str">
        <f>HYPERLINK("http://www.otzar.org/book.asp?167731","טעמי השלחן - או""ח רנג-רנד")</f>
        <v>טעמי השלחן - או"ח רנג-רנד</v>
      </c>
    </row>
    <row r="765" spans="1:5" x14ac:dyDescent="0.2">
      <c r="A765" t="s">
        <v>1363</v>
      </c>
      <c r="B765" t="s">
        <v>30</v>
      </c>
      <c r="C765" t="s">
        <v>161</v>
      </c>
      <c r="D765" t="s">
        <v>8</v>
      </c>
      <c r="E765" s="3" t="str">
        <f>HYPERLINK("http://www.otzar.org/book.asp?146508","י""א ניסן תש""נ")</f>
        <v>י"א ניסן תש"נ</v>
      </c>
    </row>
    <row r="766" spans="1:5" x14ac:dyDescent="0.2">
      <c r="A766" t="s">
        <v>1364</v>
      </c>
      <c r="B766" t="s">
        <v>1364</v>
      </c>
      <c r="C766" t="s">
        <v>58</v>
      </c>
      <c r="D766" t="s">
        <v>571</v>
      </c>
      <c r="E766" s="3" t="str">
        <f>HYPERLINK("http://www.otzar.org/book.asp?614755","י""ט בכסלו חג הגאולה")</f>
        <v>י"ט בכסלו חג הגאולה</v>
      </c>
    </row>
    <row r="767" spans="1:5" x14ac:dyDescent="0.2">
      <c r="A767" t="s">
        <v>1365</v>
      </c>
      <c r="B767" t="s">
        <v>1365</v>
      </c>
      <c r="C767" t="s">
        <v>76</v>
      </c>
      <c r="D767" t="s">
        <v>19</v>
      </c>
      <c r="E767" s="3" t="str">
        <f>HYPERLINK("http://www.otzar.org/book.asp?146193","י""ט כסלו")</f>
        <v>י"ט כסלו</v>
      </c>
    </row>
    <row r="768" spans="1:5" x14ac:dyDescent="0.2">
      <c r="A768" t="s">
        <v>1366</v>
      </c>
      <c r="B768" t="s">
        <v>1367</v>
      </c>
      <c r="C768" t="s">
        <v>76</v>
      </c>
      <c r="D768" t="s">
        <v>80</v>
      </c>
      <c r="E768" s="3" t="str">
        <f>HYPERLINK("http://www.otzar.org/book.asp?607657","י""ט כסלו - מהותו של יום")</f>
        <v>י"ט כסלו - מהותו של יום</v>
      </c>
    </row>
    <row r="769" spans="1:5" x14ac:dyDescent="0.2">
      <c r="A769" t="s">
        <v>1365</v>
      </c>
      <c r="B769" t="s">
        <v>1368</v>
      </c>
      <c r="C769" t="s">
        <v>82</v>
      </c>
      <c r="D769" t="s">
        <v>80</v>
      </c>
      <c r="E769" s="3" t="str">
        <f>HYPERLINK("http://www.otzar.org/book.asp?196125","י""ט כסלו")</f>
        <v>י"ט כסלו</v>
      </c>
    </row>
    <row r="770" spans="1:5" x14ac:dyDescent="0.2">
      <c r="A770" t="s">
        <v>1369</v>
      </c>
      <c r="B770" t="s">
        <v>1370</v>
      </c>
      <c r="C770" t="s">
        <v>76</v>
      </c>
      <c r="D770" t="s">
        <v>40</v>
      </c>
      <c r="E770" s="3" t="str">
        <f>HYPERLINK("http://www.otzar.org/book.asp?613904","י""ט כסלו - מהותו של יום ומשמעותו לדורות")</f>
        <v>י"ט כסלו - מהותו של יום ומשמעותו לדורות</v>
      </c>
    </row>
    <row r="771" spans="1:5" x14ac:dyDescent="0.2">
      <c r="A771" t="s">
        <v>1371</v>
      </c>
      <c r="B771" t="s">
        <v>108</v>
      </c>
      <c r="C771" t="s">
        <v>148</v>
      </c>
      <c r="D771" t="s">
        <v>40</v>
      </c>
      <c r="E771" s="3" t="str">
        <f>HYPERLINK("http://www.otzar.org/book.asp?142701","יגדיל תורה &lt;החדש&gt; - ג")</f>
        <v>יגדיל תורה &lt;החדש&gt; - ג</v>
      </c>
    </row>
    <row r="772" spans="1:5" x14ac:dyDescent="0.2">
      <c r="A772" t="s">
        <v>1372</v>
      </c>
      <c r="B772" t="s">
        <v>108</v>
      </c>
      <c r="C772" t="s">
        <v>1373</v>
      </c>
      <c r="D772" t="s">
        <v>40</v>
      </c>
      <c r="E772" s="3" t="str">
        <f>HYPERLINK("http://www.otzar.org/book.asp?141250","יגדיל תורה &lt;חב""ד כולל צמח צדק&gt; - 5 כר'")</f>
        <v>יגדיל תורה &lt;חב"ד כולל צמח צדק&gt; - 5 כר'</v>
      </c>
    </row>
    <row r="773" spans="1:5" x14ac:dyDescent="0.2">
      <c r="A773" t="s">
        <v>1374</v>
      </c>
      <c r="B773" t="s">
        <v>108</v>
      </c>
      <c r="C773" t="s">
        <v>201</v>
      </c>
      <c r="D773" t="s">
        <v>8</v>
      </c>
      <c r="E773" s="3" t="str">
        <f>HYPERLINK("http://www.otzar.org/book.asp?27345","יגדיל תורה &lt;חב""ד&gt; - 19 כר'")</f>
        <v>יגדיל תורה &lt;חב"ד&gt; - 19 כר'</v>
      </c>
    </row>
    <row r="774" spans="1:5" x14ac:dyDescent="0.2">
      <c r="A774" t="s">
        <v>1375</v>
      </c>
      <c r="B774" t="s">
        <v>1376</v>
      </c>
      <c r="C774" t="s">
        <v>142</v>
      </c>
      <c r="D774" t="s">
        <v>101</v>
      </c>
      <c r="E774" s="3" t="str">
        <f>HYPERLINK("http://www.otzar.org/book.asp?621039","יגדיל תורה ויאדיר - ב")</f>
        <v>יגדיל תורה ויאדיר - ב</v>
      </c>
    </row>
    <row r="775" spans="1:5" x14ac:dyDescent="0.2">
      <c r="A775" t="s">
        <v>1377</v>
      </c>
      <c r="B775" t="s">
        <v>108</v>
      </c>
      <c r="C775" t="s">
        <v>115</v>
      </c>
      <c r="D775" t="s">
        <v>8</v>
      </c>
      <c r="E775" s="3" t="str">
        <f>HYPERLINK("http://www.otzar.org/book.asp?174044","יגדיל תורה - 2 כר'")</f>
        <v>יגדיל תורה - 2 כר'</v>
      </c>
    </row>
    <row r="776" spans="1:5" x14ac:dyDescent="0.2">
      <c r="A776" t="s">
        <v>1378</v>
      </c>
      <c r="B776" t="s">
        <v>30</v>
      </c>
      <c r="C776" t="s">
        <v>58</v>
      </c>
      <c r="D776" t="s">
        <v>12</v>
      </c>
      <c r="E776" s="3" t="str">
        <f>HYPERLINK("http://www.otzar.org/book.asp?141263","יגדיל תורה")</f>
        <v>יגדיל תורה</v>
      </c>
    </row>
    <row r="777" spans="1:5" x14ac:dyDescent="0.2">
      <c r="A777" t="s">
        <v>1379</v>
      </c>
      <c r="B777" t="s">
        <v>1380</v>
      </c>
      <c r="C777" t="s">
        <v>126</v>
      </c>
      <c r="D777" t="s">
        <v>579</v>
      </c>
      <c r="E777" s="3" t="str">
        <f>HYPERLINK("http://www.otzar.org/book.asp?614765","ידיעון - 14 כר'")</f>
        <v>ידיעון - 14 כר'</v>
      </c>
    </row>
    <row r="778" spans="1:5" x14ac:dyDescent="0.2">
      <c r="A778" t="s">
        <v>1381</v>
      </c>
      <c r="B778" t="s">
        <v>1382</v>
      </c>
      <c r="C778" t="s">
        <v>49</v>
      </c>
      <c r="D778" t="s">
        <v>40</v>
      </c>
      <c r="E778" s="3" t="str">
        <f>HYPERLINK("http://www.otzar.org/book.asp?141601","יהדות הדממה - 2 כר'")</f>
        <v>יהדות הדממה - 2 כר'</v>
      </c>
    </row>
    <row r="779" spans="1:5" x14ac:dyDescent="0.2">
      <c r="A779" t="s">
        <v>1383</v>
      </c>
      <c r="B779" t="s">
        <v>28</v>
      </c>
      <c r="C779" t="s">
        <v>673</v>
      </c>
      <c r="D779" t="s">
        <v>26</v>
      </c>
      <c r="E779" s="3" t="str">
        <f>HYPERLINK("http://www.otzar.org/book.asp?142338","יהדות התורה והמדינה")</f>
        <v>יהדות התורה והמדינה</v>
      </c>
    </row>
    <row r="780" spans="1:5" x14ac:dyDescent="0.2">
      <c r="A780" t="s">
        <v>1384</v>
      </c>
      <c r="B780" t="s">
        <v>1385</v>
      </c>
      <c r="C780" t="s">
        <v>119</v>
      </c>
      <c r="D780" t="s">
        <v>12</v>
      </c>
      <c r="E780" s="3" t="str">
        <f>HYPERLINK("http://www.otzar.org/book.asp?143362","יהדות מעבר להרי הקרח")</f>
        <v>יהדות מעבר להרי הקרח</v>
      </c>
    </row>
    <row r="781" spans="1:5" x14ac:dyDescent="0.2">
      <c r="A781" t="s">
        <v>1386</v>
      </c>
      <c r="B781" t="s">
        <v>1387</v>
      </c>
      <c r="C781" t="s">
        <v>11</v>
      </c>
      <c r="D781" t="s">
        <v>12</v>
      </c>
      <c r="E781" s="3" t="str">
        <f>HYPERLINK("http://www.otzar.org/book.asp?164311","יהדותון - 7 כר'")</f>
        <v>יהדותון - 7 כר'</v>
      </c>
    </row>
    <row r="782" spans="1:5" x14ac:dyDescent="0.2">
      <c r="A782" t="s">
        <v>1388</v>
      </c>
      <c r="B782" t="s">
        <v>1389</v>
      </c>
      <c r="C782" t="s">
        <v>76</v>
      </c>
      <c r="D782" t="s">
        <v>19</v>
      </c>
      <c r="E782" s="3" t="str">
        <f>HYPERLINK("http://www.otzar.org/book.asp?160733","יהודי")</f>
        <v>יהודי</v>
      </c>
    </row>
    <row r="783" spans="1:5" x14ac:dyDescent="0.2">
      <c r="A783" t="s">
        <v>1390</v>
      </c>
      <c r="B783" t="s">
        <v>749</v>
      </c>
      <c r="C783" t="s">
        <v>34</v>
      </c>
      <c r="D783" t="s">
        <v>12</v>
      </c>
      <c r="E783" s="3" t="str">
        <f>HYPERLINK("http://www.otzar.org/book.asp?162740","יהלומים מספרים - ב")</f>
        <v>יהלומים מספרים - ב</v>
      </c>
    </row>
    <row r="784" spans="1:5" x14ac:dyDescent="0.2">
      <c r="A784" t="s">
        <v>1391</v>
      </c>
      <c r="B784" t="s">
        <v>1392</v>
      </c>
      <c r="C784" t="s">
        <v>15</v>
      </c>
      <c r="D784" t="s">
        <v>80</v>
      </c>
      <c r="E784" s="3" t="str">
        <f>HYPERLINK("http://www.otzar.org/book.asp?607988","יום הולדת באור החסידות")</f>
        <v>יום הולדת באור החסידות</v>
      </c>
    </row>
    <row r="785" spans="1:5" x14ac:dyDescent="0.2">
      <c r="A785" t="s">
        <v>1393</v>
      </c>
      <c r="B785" t="s">
        <v>1394</v>
      </c>
      <c r="C785" t="s">
        <v>111</v>
      </c>
      <c r="D785" t="s">
        <v>8</v>
      </c>
      <c r="E785" s="3" t="str">
        <f>HYPERLINK("http://www.otzar.org/book.asp?614948","יום הילולא כ""ב שבט")</f>
        <v>יום הילולא כ"ב שבט</v>
      </c>
    </row>
    <row r="786" spans="1:5" x14ac:dyDescent="0.2">
      <c r="A786" t="s">
        <v>1395</v>
      </c>
      <c r="B786" t="s">
        <v>105</v>
      </c>
      <c r="C786" t="s">
        <v>76</v>
      </c>
      <c r="E786" s="3" t="str">
        <f>HYPERLINK("http://www.otzar.org/book.asp?607798","יום הכיפורים - אהבת ישראל של יונה הנביא")</f>
        <v>יום הכיפורים - אהבת ישראל של יונה הנביא</v>
      </c>
    </row>
    <row r="787" spans="1:5" x14ac:dyDescent="0.2">
      <c r="A787" t="s">
        <v>1396</v>
      </c>
      <c r="B787" t="s">
        <v>64</v>
      </c>
      <c r="C787" t="s">
        <v>191</v>
      </c>
      <c r="D787" t="s">
        <v>8</v>
      </c>
      <c r="E787" s="3" t="str">
        <f>HYPERLINK("http://www.otzar.org/book.asp?160635","יום טוב של ר""ה תרס""ו - 11 כר'")</f>
        <v>יום טוב של ר"ה תרס"ו - 11 כר'</v>
      </c>
    </row>
    <row r="788" spans="1:5" x14ac:dyDescent="0.2">
      <c r="A788" t="s">
        <v>1397</v>
      </c>
      <c r="B788" t="s">
        <v>207</v>
      </c>
      <c r="C788" t="s">
        <v>22</v>
      </c>
      <c r="D788" t="s">
        <v>1398</v>
      </c>
      <c r="E788" s="3" t="str">
        <f>HYPERLINK("http://www.otzar.org/book.asp?607972","יום יום משיח וגאולה")</f>
        <v>יום יום משיח וגאולה</v>
      </c>
    </row>
    <row r="789" spans="1:5" x14ac:dyDescent="0.2">
      <c r="A789" t="s">
        <v>1399</v>
      </c>
      <c r="B789" t="s">
        <v>336</v>
      </c>
      <c r="C789" t="s">
        <v>76</v>
      </c>
      <c r="D789" t="s">
        <v>19</v>
      </c>
      <c r="E789" s="3" t="str">
        <f>HYPERLINK("http://www.otzar.org/book.asp?189108","יום יום עם הרבי")</f>
        <v>יום יום עם הרבי</v>
      </c>
    </row>
    <row r="790" spans="1:5" x14ac:dyDescent="0.2">
      <c r="A790" t="s">
        <v>1400</v>
      </c>
      <c r="B790" t="s">
        <v>207</v>
      </c>
      <c r="C790" t="s">
        <v>191</v>
      </c>
      <c r="D790" t="s">
        <v>8</v>
      </c>
      <c r="E790" s="3" t="str">
        <f>HYPERLINK("http://www.otzar.org/book.asp?166018","יומא טבא לרבנן")</f>
        <v>יומא טבא לרבנן</v>
      </c>
    </row>
    <row r="791" spans="1:5" x14ac:dyDescent="0.2">
      <c r="A791" t="s">
        <v>1401</v>
      </c>
      <c r="B791" t="s">
        <v>1402</v>
      </c>
      <c r="C791" t="s">
        <v>191</v>
      </c>
      <c r="D791" t="s">
        <v>556</v>
      </c>
      <c r="E791" s="3" t="str">
        <f>HYPERLINK("http://www.otzar.org/book.asp?181761","יומן בית חיינו - תשמ""ו")</f>
        <v>יומן בית חיינו - תשמ"ו</v>
      </c>
    </row>
    <row r="792" spans="1:5" x14ac:dyDescent="0.2">
      <c r="A792" t="s">
        <v>1403</v>
      </c>
      <c r="B792" t="s">
        <v>280</v>
      </c>
      <c r="C792" t="s">
        <v>82</v>
      </c>
      <c r="D792" t="s">
        <v>1404</v>
      </c>
      <c r="E792" s="3" t="str">
        <f>HYPERLINK("http://www.otzar.org/book.asp?607996","יומן מסע")</f>
        <v>יומן מסע</v>
      </c>
    </row>
    <row r="793" spans="1:5" x14ac:dyDescent="0.2">
      <c r="A793" t="s">
        <v>1405</v>
      </c>
      <c r="B793" t="s">
        <v>1405</v>
      </c>
      <c r="C793" t="s">
        <v>58</v>
      </c>
      <c r="D793" t="s">
        <v>19</v>
      </c>
      <c r="E793" s="3" t="str">
        <f>HYPERLINK("http://www.otzar.org/book.asp?141515","יומן שנת הקהל התשמ""א")</f>
        <v>יומן שנת הקהל התשמ"א</v>
      </c>
    </row>
    <row r="794" spans="1:5" x14ac:dyDescent="0.2">
      <c r="A794" t="s">
        <v>1406</v>
      </c>
      <c r="B794" t="s">
        <v>1406</v>
      </c>
      <c r="C794" t="s">
        <v>155</v>
      </c>
      <c r="D794" t="s">
        <v>8</v>
      </c>
      <c r="E794" s="3" t="str">
        <f>HYPERLINK("http://www.otzar.org/book.asp?145760","יומן שנת הקהל התשמ""ח")</f>
        <v>יומן שנת הקהל התשמ"ח</v>
      </c>
    </row>
    <row r="795" spans="1:5" x14ac:dyDescent="0.2">
      <c r="A795" t="s">
        <v>1407</v>
      </c>
      <c r="B795" t="s">
        <v>1408</v>
      </c>
      <c r="C795" t="s">
        <v>76</v>
      </c>
      <c r="D795" t="s">
        <v>8</v>
      </c>
      <c r="E795" s="3" t="str">
        <f>HYPERLINK("http://www.otzar.org/book.asp?630128","יומן - כסלו תשכ""ה, כסלו תשכ""ח")</f>
        <v>יומן - כסלו תשכ"ה, כסלו תשכ"ח</v>
      </c>
    </row>
    <row r="796" spans="1:5" x14ac:dyDescent="0.2">
      <c r="A796" t="s">
        <v>1409</v>
      </c>
      <c r="B796" t="s">
        <v>105</v>
      </c>
      <c r="C796" t="s">
        <v>76</v>
      </c>
      <c r="D796" t="s">
        <v>19</v>
      </c>
      <c r="E796" s="3" t="str">
        <f>HYPERLINK("http://www.otzar.org/book.asp?613900","יומן")</f>
        <v>יומן</v>
      </c>
    </row>
    <row r="797" spans="1:5" x14ac:dyDescent="0.2">
      <c r="A797" t="s">
        <v>1410</v>
      </c>
      <c r="B797" t="s">
        <v>1411</v>
      </c>
      <c r="C797" t="s">
        <v>191</v>
      </c>
      <c r="D797" t="s">
        <v>12</v>
      </c>
      <c r="E797" s="3" t="str">
        <f>HYPERLINK("http://www.otzar.org/book.asp?168978","יוסי החבר הכי טוב שלי")</f>
        <v>יוסי החבר הכי טוב שלי</v>
      </c>
    </row>
    <row r="798" spans="1:5" x14ac:dyDescent="0.2">
      <c r="A798" t="s">
        <v>1412</v>
      </c>
      <c r="B798" t="s">
        <v>1413</v>
      </c>
      <c r="C798" t="s">
        <v>76</v>
      </c>
      <c r="D798" t="s">
        <v>19</v>
      </c>
      <c r="E798" s="3" t="str">
        <f>HYPERLINK("http://www.otzar.org/book.asp?167744","יוצאים לחירות")</f>
        <v>יוצאים לחירות</v>
      </c>
    </row>
    <row r="799" spans="1:5" x14ac:dyDescent="0.2">
      <c r="A799" t="s">
        <v>1414</v>
      </c>
      <c r="B799" t="s">
        <v>1415</v>
      </c>
      <c r="C799" t="s">
        <v>350</v>
      </c>
      <c r="D799" t="s">
        <v>12</v>
      </c>
      <c r="E799" s="3" t="str">
        <f>HYPERLINK("http://www.otzar.org/book.asp?607848","יחד כל ילדי הכפר")</f>
        <v>יחד כל ילדי הכפר</v>
      </c>
    </row>
    <row r="800" spans="1:5" x14ac:dyDescent="0.2">
      <c r="A800" t="s">
        <v>1416</v>
      </c>
      <c r="B800" t="s">
        <v>108</v>
      </c>
      <c r="C800" t="s">
        <v>155</v>
      </c>
      <c r="D800" t="s">
        <v>19</v>
      </c>
      <c r="E800" s="3" t="str">
        <f>HYPERLINK("http://www.otzar.org/book.asp?141547","יחדיו")</f>
        <v>יחדיו</v>
      </c>
    </row>
    <row r="801" spans="1:5" x14ac:dyDescent="0.2">
      <c r="A801" t="s">
        <v>1417</v>
      </c>
      <c r="B801" t="s">
        <v>1418</v>
      </c>
      <c r="C801" t="s">
        <v>31</v>
      </c>
      <c r="D801" t="s">
        <v>116</v>
      </c>
      <c r="E801" s="3" t="str">
        <f>HYPERLINK("http://www.otzar.org/book.asp?143273","יחי המלך")</f>
        <v>יחי המלך</v>
      </c>
    </row>
    <row r="802" spans="1:5" x14ac:dyDescent="0.2">
      <c r="A802" t="s">
        <v>1419</v>
      </c>
      <c r="B802" t="s">
        <v>1419</v>
      </c>
      <c r="C802" t="s">
        <v>350</v>
      </c>
      <c r="D802" t="s">
        <v>8</v>
      </c>
      <c r="E802" s="3" t="str">
        <f>HYPERLINK("http://www.otzar.org/book.asp?607776","יחידה ביחיד")</f>
        <v>יחידה ביחיד</v>
      </c>
    </row>
    <row r="803" spans="1:5" x14ac:dyDescent="0.2">
      <c r="A803" t="s">
        <v>1420</v>
      </c>
      <c r="B803" t="s">
        <v>30</v>
      </c>
      <c r="C803" t="s">
        <v>119</v>
      </c>
      <c r="D803" t="s">
        <v>8</v>
      </c>
      <c r="E803" s="3" t="str">
        <f>HYPERLINK("http://www.otzar.org/book.asp?141512","יחידויות חתנים וכלות - 2 כר'")</f>
        <v>יחידויות חתנים וכלות - 2 כר'</v>
      </c>
    </row>
    <row r="804" spans="1:5" x14ac:dyDescent="0.2">
      <c r="A804" t="s">
        <v>1421</v>
      </c>
      <c r="B804" t="s">
        <v>1184</v>
      </c>
      <c r="C804" t="s">
        <v>7</v>
      </c>
      <c r="D804" t="s">
        <v>12</v>
      </c>
      <c r="E804" s="3" t="str">
        <f>HYPERLINK("http://www.otzar.org/book.asp?622493","יחידויות")</f>
        <v>יחידויות</v>
      </c>
    </row>
    <row r="805" spans="1:5" x14ac:dyDescent="0.2">
      <c r="A805" t="s">
        <v>1422</v>
      </c>
      <c r="B805" t="s">
        <v>1422</v>
      </c>
      <c r="C805" t="s">
        <v>49</v>
      </c>
      <c r="D805" t="s">
        <v>12</v>
      </c>
      <c r="E805" s="3" t="str">
        <f>HYPERLINK("http://www.otzar.org/book.asp?141576","יחידות")</f>
        <v>יחידות</v>
      </c>
    </row>
    <row r="806" spans="1:5" x14ac:dyDescent="0.2">
      <c r="A806" t="s">
        <v>1423</v>
      </c>
      <c r="B806" t="s">
        <v>1424</v>
      </c>
      <c r="C806" t="s">
        <v>350</v>
      </c>
      <c r="D806" t="s">
        <v>19</v>
      </c>
      <c r="E806" s="3" t="str">
        <f>HYPERLINK("http://www.otzar.org/book.asp?607775","יחננו ויברכנו")</f>
        <v>יחננו ויברכנו</v>
      </c>
    </row>
    <row r="807" spans="1:5" x14ac:dyDescent="0.2">
      <c r="A807" t="s">
        <v>1425</v>
      </c>
      <c r="B807" t="s">
        <v>30</v>
      </c>
      <c r="C807" t="s">
        <v>155</v>
      </c>
      <c r="D807" t="s">
        <v>8</v>
      </c>
      <c r="E807" s="3" t="str">
        <f>HYPERLINK("http://www.otzar.org/book.asp?143282","יין מלכות")</f>
        <v>יין מלכות</v>
      </c>
    </row>
    <row r="808" spans="1:5" x14ac:dyDescent="0.2">
      <c r="A808" t="s">
        <v>1426</v>
      </c>
      <c r="B808" t="s">
        <v>33</v>
      </c>
      <c r="C808" t="s">
        <v>191</v>
      </c>
      <c r="D808" t="s">
        <v>12</v>
      </c>
      <c r="E808" s="3" t="str">
        <f>HYPERLINK("http://www.otzar.org/book.asp?160615","ייסודה והתפתחותה של קרית חב""ד בצפת")</f>
        <v>ייסודה והתפתחותה של קרית חב"ד בצפת</v>
      </c>
    </row>
    <row r="809" spans="1:5" x14ac:dyDescent="0.2">
      <c r="A809" t="s">
        <v>1427</v>
      </c>
      <c r="B809" t="s">
        <v>677</v>
      </c>
      <c r="C809" t="s">
        <v>34</v>
      </c>
      <c r="D809" t="s">
        <v>12</v>
      </c>
      <c r="E809" s="3" t="str">
        <f>HYPERLINK("http://www.otzar.org/book.asp?153357","ייסודו והתפתחותו של שיכון חב""ד לוד")</f>
        <v>ייסודו והתפתחותו של שיכון חב"ד לוד</v>
      </c>
    </row>
    <row r="810" spans="1:5" x14ac:dyDescent="0.2">
      <c r="A810" t="s">
        <v>1428</v>
      </c>
      <c r="B810" t="s">
        <v>1429</v>
      </c>
      <c r="C810" t="s">
        <v>73</v>
      </c>
      <c r="D810" t="s">
        <v>12</v>
      </c>
      <c r="E810" s="3" t="str">
        <f>HYPERLINK("http://www.otzar.org/book.asp?181651","ייפוי כוח")</f>
        <v>ייפוי כוח</v>
      </c>
    </row>
    <row r="811" spans="1:5" x14ac:dyDescent="0.2">
      <c r="A811" t="s">
        <v>1430</v>
      </c>
      <c r="B811" t="s">
        <v>24</v>
      </c>
      <c r="C811" t="s">
        <v>327</v>
      </c>
      <c r="D811" t="s">
        <v>40</v>
      </c>
      <c r="E811" s="3" t="str">
        <f>HYPERLINK("http://www.otzar.org/book.asp?141477","ילקוט אגרות קודש")</f>
        <v>ילקוט אגרות קודש</v>
      </c>
    </row>
    <row r="812" spans="1:5" x14ac:dyDescent="0.2">
      <c r="A812" t="s">
        <v>1431</v>
      </c>
      <c r="B812" t="s">
        <v>207</v>
      </c>
      <c r="C812" t="s">
        <v>301</v>
      </c>
      <c r="D812" t="s">
        <v>12</v>
      </c>
      <c r="E812" s="3" t="str">
        <f>HYPERLINK("http://www.otzar.org/book.asp?146326","ילקוט אפשערניש (תספורת)")</f>
        <v>ילקוט אפשערניש (תספורת)</v>
      </c>
    </row>
    <row r="813" spans="1:5" x14ac:dyDescent="0.2">
      <c r="A813" t="s">
        <v>1432</v>
      </c>
      <c r="B813" t="s">
        <v>1432</v>
      </c>
      <c r="C813" t="s">
        <v>155</v>
      </c>
      <c r="D813" t="s">
        <v>12</v>
      </c>
      <c r="E813" s="3" t="str">
        <f>HYPERLINK("http://www.otzar.org/book.asp?141493","ילקוט אשל")</f>
        <v>ילקוט אשל</v>
      </c>
    </row>
    <row r="814" spans="1:5" x14ac:dyDescent="0.2">
      <c r="A814" t="s">
        <v>1433</v>
      </c>
      <c r="B814" t="s">
        <v>1434</v>
      </c>
      <c r="C814" t="s">
        <v>201</v>
      </c>
      <c r="D814" t="s">
        <v>12</v>
      </c>
      <c r="E814" s="3" t="str">
        <f>HYPERLINK("http://www.otzar.org/book.asp?140816","ילקוט בר מצוה")</f>
        <v>ילקוט בר מצוה</v>
      </c>
    </row>
    <row r="815" spans="1:5" x14ac:dyDescent="0.2">
      <c r="A815" t="s">
        <v>1435</v>
      </c>
      <c r="B815" t="s">
        <v>1436</v>
      </c>
      <c r="C815" t="s">
        <v>7</v>
      </c>
      <c r="D815" t="s">
        <v>19</v>
      </c>
      <c r="E815" s="3" t="str">
        <f>HYPERLINK("http://www.otzar.org/book.asp?631129","ילקוט הלכות וטעמי המנהגים חב""ד - 2 כר'")</f>
        <v>ילקוט הלכות וטעמי המנהגים חב"ד - 2 כר'</v>
      </c>
    </row>
    <row r="816" spans="1:5" x14ac:dyDescent="0.2">
      <c r="A816" t="s">
        <v>1437</v>
      </c>
      <c r="B816" t="s">
        <v>1039</v>
      </c>
      <c r="C816" t="s">
        <v>58</v>
      </c>
      <c r="D816" t="s">
        <v>12</v>
      </c>
      <c r="E816" s="3" t="str">
        <f>HYPERLINK("http://www.otzar.org/book.asp?141430","ילקוט הקהל")</f>
        <v>ילקוט הקהל</v>
      </c>
    </row>
    <row r="817" spans="1:5" x14ac:dyDescent="0.2">
      <c r="A817" t="s">
        <v>1438</v>
      </c>
      <c r="B817" t="s">
        <v>1039</v>
      </c>
      <c r="C817" t="s">
        <v>488</v>
      </c>
      <c r="D817" t="s">
        <v>12</v>
      </c>
      <c r="E817" s="3" t="str">
        <f>HYPERLINK("http://www.otzar.org/book.asp?141509","ילקוט השמיטה")</f>
        <v>ילקוט השמיטה</v>
      </c>
    </row>
    <row r="818" spans="1:5" x14ac:dyDescent="0.2">
      <c r="A818" t="s">
        <v>1439</v>
      </c>
      <c r="B818" t="s">
        <v>1440</v>
      </c>
      <c r="C818" t="s">
        <v>18</v>
      </c>
      <c r="D818" t="s">
        <v>8</v>
      </c>
      <c r="E818" s="3" t="str">
        <f>HYPERLINK("http://www.otzar.org/book.asp?140831","ילקוט התספורת")</f>
        <v>ילקוט התספורת</v>
      </c>
    </row>
    <row r="819" spans="1:5" x14ac:dyDescent="0.2">
      <c r="A819" t="s">
        <v>1441</v>
      </c>
      <c r="B819" t="s">
        <v>1442</v>
      </c>
      <c r="C819" t="s">
        <v>73</v>
      </c>
      <c r="D819" t="s">
        <v>8</v>
      </c>
      <c r="E819" s="3" t="str">
        <f>HYPERLINK("http://www.otzar.org/book.asp?622227","ילקוט לוי יצחק על התורה - 5 כר'")</f>
        <v>ילקוט לוי יצחק על התורה - 5 כר'</v>
      </c>
    </row>
    <row r="820" spans="1:5" x14ac:dyDescent="0.2">
      <c r="A820" t="s">
        <v>1443</v>
      </c>
      <c r="B820" t="s">
        <v>1444</v>
      </c>
      <c r="C820" t="s">
        <v>213</v>
      </c>
      <c r="D820" t="s">
        <v>8</v>
      </c>
      <c r="E820" s="3" t="str">
        <f>HYPERLINK("http://www.otzar.org/book.asp?26656","ילקוט משיח וגאולה - 29 כר'")</f>
        <v>ילקוט משיח וגאולה - 29 כר'</v>
      </c>
    </row>
    <row r="821" spans="1:5" x14ac:dyDescent="0.2">
      <c r="A821" t="s">
        <v>1445</v>
      </c>
      <c r="B821" t="s">
        <v>1446</v>
      </c>
      <c r="C821" t="s">
        <v>73</v>
      </c>
      <c r="D821" t="s">
        <v>8</v>
      </c>
      <c r="E821" s="3" t="str">
        <f>HYPERLINK("http://www.otzar.org/book.asp?630331","ילקוט פירושים מילקוט לוי יצחק")</f>
        <v>ילקוט פירושים מילקוט לוי יצחק</v>
      </c>
    </row>
    <row r="822" spans="1:5" x14ac:dyDescent="0.2">
      <c r="A822" t="s">
        <v>1447</v>
      </c>
      <c r="B822" t="s">
        <v>1442</v>
      </c>
      <c r="C822" t="s">
        <v>142</v>
      </c>
      <c r="D822" t="s">
        <v>12</v>
      </c>
      <c r="E822" s="3" t="str">
        <f>HYPERLINK("http://www.otzar.org/book.asp?618898","ילקוט פירושים על מצות תפילין")</f>
        <v>ילקוט פירושים על מצות תפילין</v>
      </c>
    </row>
    <row r="823" spans="1:5" x14ac:dyDescent="0.2">
      <c r="A823" t="s">
        <v>1448</v>
      </c>
      <c r="B823" t="s">
        <v>1449</v>
      </c>
      <c r="C823" t="s">
        <v>7</v>
      </c>
      <c r="D823" t="s">
        <v>12</v>
      </c>
      <c r="E823" s="3" t="str">
        <f>HYPERLINK("http://www.otzar.org/book.asp?622500","ילקוט תורת הנפש על פי חב""ד")</f>
        <v>ילקוט תורת הנפש על פי חב"ד</v>
      </c>
    </row>
    <row r="824" spans="1:5" x14ac:dyDescent="0.2">
      <c r="A824" t="s">
        <v>1450</v>
      </c>
      <c r="B824" t="s">
        <v>1451</v>
      </c>
      <c r="C824" t="s">
        <v>76</v>
      </c>
      <c r="D824" t="s">
        <v>1398</v>
      </c>
      <c r="E824" s="3" t="str">
        <f>HYPERLINK("http://www.otzar.org/book.asp?141510","ימה וקדמה")</f>
        <v>ימה וקדמה</v>
      </c>
    </row>
    <row r="825" spans="1:5" x14ac:dyDescent="0.2">
      <c r="A825" t="s">
        <v>1452</v>
      </c>
      <c r="B825" t="s">
        <v>1453</v>
      </c>
      <c r="C825" t="s">
        <v>165</v>
      </c>
      <c r="D825" t="s">
        <v>8</v>
      </c>
      <c r="E825" s="3" t="str">
        <f>HYPERLINK("http://www.otzar.org/book.asp?26521","ימות המשיח בהלכה - 2 כר'")</f>
        <v>ימות המשיח בהלכה - 2 כר'</v>
      </c>
    </row>
    <row r="826" spans="1:5" x14ac:dyDescent="0.2">
      <c r="A826" t="s">
        <v>1454</v>
      </c>
      <c r="B826" t="s">
        <v>1122</v>
      </c>
      <c r="C826" t="s">
        <v>73</v>
      </c>
      <c r="D826" t="s">
        <v>12</v>
      </c>
      <c r="E826" s="3" t="str">
        <f>HYPERLINK("http://www.otzar.org/book.asp?603612","ימות המשיח")</f>
        <v>ימות המשיח</v>
      </c>
    </row>
    <row r="827" spans="1:5" x14ac:dyDescent="0.2">
      <c r="A827" t="s">
        <v>1455</v>
      </c>
      <c r="B827" t="s">
        <v>1243</v>
      </c>
      <c r="C827" t="s">
        <v>350</v>
      </c>
      <c r="D827" t="s">
        <v>12</v>
      </c>
      <c r="E827" s="3" t="str">
        <f>HYPERLINK("http://www.otzar.org/book.asp?607712","ימי 770")</f>
        <v>ימי 770</v>
      </c>
    </row>
    <row r="828" spans="1:5" x14ac:dyDescent="0.2">
      <c r="A828" t="s">
        <v>1456</v>
      </c>
      <c r="B828" t="s">
        <v>1457</v>
      </c>
      <c r="C828" t="s">
        <v>152</v>
      </c>
      <c r="D828" t="s">
        <v>8</v>
      </c>
      <c r="E828" s="3" t="str">
        <f>HYPERLINK("http://www.otzar.org/book.asp?142184","ימי בראשית")</f>
        <v>ימי בראשית</v>
      </c>
    </row>
    <row r="829" spans="1:5" x14ac:dyDescent="0.2">
      <c r="A829" t="s">
        <v>1458</v>
      </c>
      <c r="B829" t="s">
        <v>1459</v>
      </c>
      <c r="C829" t="s">
        <v>73</v>
      </c>
      <c r="D829" t="s">
        <v>8</v>
      </c>
      <c r="E829" s="3" t="str">
        <f>HYPERLINK("http://www.otzar.org/book.asp?600292","ימי ברכה")</f>
        <v>ימי ברכה</v>
      </c>
    </row>
    <row r="830" spans="1:5" x14ac:dyDescent="0.2">
      <c r="A830" t="s">
        <v>1460</v>
      </c>
      <c r="B830" t="s">
        <v>1461</v>
      </c>
      <c r="C830" t="s">
        <v>76</v>
      </c>
      <c r="D830" t="s">
        <v>19</v>
      </c>
      <c r="E830" s="3" t="str">
        <f>HYPERLINK("http://www.otzar.org/book.asp?630321","ימי הבאנייען")</f>
        <v>ימי הבאנייען</v>
      </c>
    </row>
    <row r="831" spans="1:5" x14ac:dyDescent="0.2">
      <c r="A831" t="s">
        <v>1462</v>
      </c>
      <c r="B831" t="s">
        <v>30</v>
      </c>
      <c r="C831" t="s">
        <v>183</v>
      </c>
      <c r="D831" t="s">
        <v>166</v>
      </c>
      <c r="E831" s="3" t="str">
        <f>HYPERLINK("http://www.otzar.org/book.asp?140937","ימי הקיץ")</f>
        <v>ימי הקיץ</v>
      </c>
    </row>
    <row r="832" spans="1:5" x14ac:dyDescent="0.2">
      <c r="A832" t="s">
        <v>1463</v>
      </c>
      <c r="B832" t="s">
        <v>1464</v>
      </c>
      <c r="C832" t="s">
        <v>67</v>
      </c>
      <c r="D832" t="s">
        <v>12</v>
      </c>
      <c r="E832" s="3" t="str">
        <f>HYPERLINK("http://www.otzar.org/book.asp?27596","ימי מלך - א")</f>
        <v>ימי מלך - א</v>
      </c>
    </row>
    <row r="833" spans="1:5" x14ac:dyDescent="0.2">
      <c r="A833" t="s">
        <v>1465</v>
      </c>
      <c r="B833" t="s">
        <v>1466</v>
      </c>
      <c r="C833" t="s">
        <v>22</v>
      </c>
      <c r="D833" t="s">
        <v>857</v>
      </c>
      <c r="E833" s="3" t="str">
        <f>HYPERLINK("http://www.otzar.org/book.asp?142326","ימי מלך - 3 כר'")</f>
        <v>ימי מלך - 3 כר'</v>
      </c>
    </row>
    <row r="834" spans="1:5" x14ac:dyDescent="0.2">
      <c r="A834" t="s">
        <v>1467</v>
      </c>
      <c r="B834" t="s">
        <v>1468</v>
      </c>
      <c r="C834" t="s">
        <v>86</v>
      </c>
      <c r="D834" t="s">
        <v>12</v>
      </c>
      <c r="E834" s="3" t="str">
        <f>HYPERLINK("http://www.otzar.org/book.asp?143244","ימי תמימים - 8 כר'")</f>
        <v>ימי תמימים - 8 כר'</v>
      </c>
    </row>
    <row r="835" spans="1:5" x14ac:dyDescent="0.2">
      <c r="A835" t="s">
        <v>1469</v>
      </c>
      <c r="B835" t="s">
        <v>1470</v>
      </c>
      <c r="C835" t="s">
        <v>327</v>
      </c>
      <c r="D835" t="s">
        <v>101</v>
      </c>
      <c r="E835" s="3" t="str">
        <f>HYPERLINK("http://www.otzar.org/book.asp?27618","ימי תמימים")</f>
        <v>ימי תמימים</v>
      </c>
    </row>
    <row r="836" spans="1:5" x14ac:dyDescent="0.2">
      <c r="A836" t="s">
        <v>1471</v>
      </c>
      <c r="B836" t="s">
        <v>1472</v>
      </c>
      <c r="C836" t="s">
        <v>76</v>
      </c>
      <c r="D836" t="s">
        <v>12</v>
      </c>
      <c r="E836" s="3" t="str">
        <f>HYPERLINK("http://www.otzar.org/book.asp?27822","ימים בהירים - 2 כר'")</f>
        <v>ימים בהירים - 2 כר'</v>
      </c>
    </row>
    <row r="837" spans="1:5" x14ac:dyDescent="0.2">
      <c r="A837" t="s">
        <v>1473</v>
      </c>
      <c r="B837" t="s">
        <v>1184</v>
      </c>
      <c r="C837" t="s">
        <v>82</v>
      </c>
      <c r="D837" t="s">
        <v>12</v>
      </c>
      <c r="E837" s="3" t="str">
        <f>HYPERLINK("http://www.otzar.org/book.asp?196296","ימים טובים עם הרבי - 4 כר'")</f>
        <v>ימים טובים עם הרבי - 4 כר'</v>
      </c>
    </row>
    <row r="838" spans="1:5" x14ac:dyDescent="0.2">
      <c r="A838" t="s">
        <v>1474</v>
      </c>
      <c r="B838" t="s">
        <v>1475</v>
      </c>
      <c r="C838" t="s">
        <v>82</v>
      </c>
      <c r="D838" t="s">
        <v>8</v>
      </c>
      <c r="E838" s="3" t="str">
        <f>HYPERLINK("http://www.otzar.org/book.asp?601612","ימים מקדם")</f>
        <v>ימים מקדם</v>
      </c>
    </row>
    <row r="839" spans="1:5" x14ac:dyDescent="0.2">
      <c r="A839" t="s">
        <v>1476</v>
      </c>
      <c r="B839" t="s">
        <v>1243</v>
      </c>
      <c r="C839" t="s">
        <v>142</v>
      </c>
      <c r="D839" t="s">
        <v>12</v>
      </c>
      <c r="E839" s="3" t="str">
        <f>HYPERLINK("http://www.otzar.org/book.asp?611988","ימים נוראים")</f>
        <v>ימים נוראים</v>
      </c>
    </row>
    <row r="840" spans="1:5" x14ac:dyDescent="0.2">
      <c r="A840" t="s">
        <v>1477</v>
      </c>
      <c r="B840" t="s">
        <v>1478</v>
      </c>
      <c r="C840" t="s">
        <v>213</v>
      </c>
      <c r="D840" t="s">
        <v>19</v>
      </c>
      <c r="E840" s="3" t="str">
        <f>HYPERLINK("http://www.otzar.org/book.asp?141513","יסוד הבנין")</f>
        <v>יסוד הבנין</v>
      </c>
    </row>
    <row r="841" spans="1:5" x14ac:dyDescent="0.2">
      <c r="A841" t="s">
        <v>1479</v>
      </c>
      <c r="B841" t="s">
        <v>1480</v>
      </c>
      <c r="C841" t="s">
        <v>86</v>
      </c>
      <c r="D841" t="s">
        <v>12</v>
      </c>
      <c r="E841" s="3" t="str">
        <f>HYPERLINK("http://www.otzar.org/book.asp?145551","יסודה והתפתחותה של שכונת נחלת הר חב""ד")</f>
        <v>יסודה והתפתחותה של שכונת נחלת הר חב"ד</v>
      </c>
    </row>
    <row r="842" spans="1:5" x14ac:dyDescent="0.2">
      <c r="A842" t="s">
        <v>1481</v>
      </c>
      <c r="B842" t="s">
        <v>1482</v>
      </c>
      <c r="C842" t="s">
        <v>350</v>
      </c>
      <c r="D842" t="s">
        <v>208</v>
      </c>
      <c r="E842" s="3" t="str">
        <f>HYPERLINK("http://www.otzar.org/book.asp?611203","יסודי השולחן וזיקוקי אורותיו")</f>
        <v>יסודי השולחן וזיקוקי אורותיו</v>
      </c>
    </row>
    <row r="843" spans="1:5" x14ac:dyDescent="0.2">
      <c r="A843" t="s">
        <v>1483</v>
      </c>
      <c r="B843" t="s">
        <v>10</v>
      </c>
      <c r="C843" t="s">
        <v>52</v>
      </c>
      <c r="D843" t="s">
        <v>19</v>
      </c>
      <c r="E843" s="3" t="str">
        <f>HYPERLINK("http://www.otzar.org/book.asp?145998","יעקב אבינו לא מת")</f>
        <v>יעקב אבינו לא מת</v>
      </c>
    </row>
    <row r="844" spans="1:5" x14ac:dyDescent="0.2">
      <c r="A844" t="s">
        <v>1484</v>
      </c>
      <c r="B844" t="s">
        <v>370</v>
      </c>
      <c r="C844" t="s">
        <v>165</v>
      </c>
      <c r="D844" t="s">
        <v>12</v>
      </c>
      <c r="E844" s="3" t="str">
        <f>HYPERLINK("http://www.otzar.org/book.asp?27189","יראת ה' אוצרו")</f>
        <v>יראת ה' אוצרו</v>
      </c>
    </row>
    <row r="845" spans="1:5" x14ac:dyDescent="0.2">
      <c r="A845" t="s">
        <v>1485</v>
      </c>
      <c r="B845" t="s">
        <v>172</v>
      </c>
      <c r="C845" t="s">
        <v>11</v>
      </c>
      <c r="D845" t="s">
        <v>12</v>
      </c>
      <c r="E845" s="3" t="str">
        <f>HYPERLINK("http://www.otzar.org/book.asp?164363","ירח האיתנים - 2 כר'")</f>
        <v>ירח האיתנים - 2 כר'</v>
      </c>
    </row>
    <row r="846" spans="1:5" x14ac:dyDescent="0.2">
      <c r="A846" t="s">
        <v>1486</v>
      </c>
      <c r="B846" t="s">
        <v>108</v>
      </c>
      <c r="C846" t="s">
        <v>58</v>
      </c>
      <c r="D846" t="s">
        <v>8</v>
      </c>
      <c r="E846" s="3" t="str">
        <f>HYPERLINK("http://www.otzar.org/book.asp?154707","ירחי כלה &lt;חב""ד&gt; - א")</f>
        <v>ירחי כלה &lt;חב"ד&gt; - א</v>
      </c>
    </row>
    <row r="847" spans="1:5" x14ac:dyDescent="0.2">
      <c r="A847" t="s">
        <v>1487</v>
      </c>
      <c r="B847" t="s">
        <v>1488</v>
      </c>
      <c r="C847" t="s">
        <v>54</v>
      </c>
      <c r="D847" t="s">
        <v>12</v>
      </c>
      <c r="E847" s="3" t="str">
        <f>HYPERLINK("http://www.otzar.org/book.asp?614905","ירחי כלה תשע""ב")</f>
        <v>ירחי כלה תשע"ב</v>
      </c>
    </row>
    <row r="848" spans="1:5" x14ac:dyDescent="0.2">
      <c r="A848" t="s">
        <v>1489</v>
      </c>
      <c r="B848" t="s">
        <v>1488</v>
      </c>
      <c r="C848" t="s">
        <v>44</v>
      </c>
      <c r="D848" t="s">
        <v>12</v>
      </c>
      <c r="E848" s="3" t="str">
        <f>HYPERLINK("http://www.otzar.org/book.asp?614920","ירחי כלה תשע""ג")</f>
        <v>ירחי כלה תשע"ג</v>
      </c>
    </row>
    <row r="849" spans="1:5" x14ac:dyDescent="0.2">
      <c r="A849" t="s">
        <v>1490</v>
      </c>
      <c r="B849" t="s">
        <v>1488</v>
      </c>
      <c r="C849" t="s">
        <v>82</v>
      </c>
      <c r="D849" t="s">
        <v>12</v>
      </c>
      <c r="E849" s="3" t="str">
        <f>HYPERLINK("http://www.otzar.org/book.asp?607918","ירחי כלה תשע""ו")</f>
        <v>ירחי כלה תשע"ו</v>
      </c>
    </row>
    <row r="850" spans="1:5" x14ac:dyDescent="0.2">
      <c r="A850" t="s">
        <v>1491</v>
      </c>
      <c r="B850" t="s">
        <v>1488</v>
      </c>
      <c r="C850" t="s">
        <v>142</v>
      </c>
      <c r="D850" t="s">
        <v>12</v>
      </c>
      <c r="E850" s="3" t="str">
        <f>HYPERLINK("http://www.otzar.org/book.asp?618896","ירחי כלה תשע""ח")</f>
        <v>ירחי כלה תשע"ח</v>
      </c>
    </row>
    <row r="851" spans="1:5" x14ac:dyDescent="0.2">
      <c r="A851" t="s">
        <v>1492</v>
      </c>
      <c r="B851" t="s">
        <v>1493</v>
      </c>
      <c r="C851" t="s">
        <v>82</v>
      </c>
      <c r="D851" t="s">
        <v>40</v>
      </c>
      <c r="E851" s="3" t="str">
        <f>HYPERLINK("http://www.otzar.org/book.asp?607879","ירים משה - 3 כר'")</f>
        <v>ירים משה - 3 כר'</v>
      </c>
    </row>
    <row r="852" spans="1:5" x14ac:dyDescent="0.2">
      <c r="A852" t="s">
        <v>1494</v>
      </c>
      <c r="B852" t="s">
        <v>1495</v>
      </c>
      <c r="C852" t="s">
        <v>60</v>
      </c>
      <c r="D852" t="s">
        <v>8</v>
      </c>
      <c r="E852" s="3" t="str">
        <f>HYPERLINK("http://www.otzar.org/book.asp?146547","יש לתמוה &lt;שאלות וחידות בענינים שונים&gt; - א")</f>
        <v>יש לתמוה &lt;שאלות וחידות בענינים שונים&gt; - א</v>
      </c>
    </row>
    <row r="853" spans="1:5" x14ac:dyDescent="0.2">
      <c r="A853" t="s">
        <v>1496</v>
      </c>
      <c r="B853" t="s">
        <v>1497</v>
      </c>
      <c r="C853" t="s">
        <v>34</v>
      </c>
      <c r="D853" t="s">
        <v>240</v>
      </c>
      <c r="E853" s="3" t="str">
        <f>HYPERLINK("http://www.otzar.org/book.asp?153359","ישיבה של מעלה מיערות בראזיל")</f>
        <v>ישיבה של מעלה מיערות בראזיל</v>
      </c>
    </row>
    <row r="854" spans="1:5" x14ac:dyDescent="0.2">
      <c r="A854" t="s">
        <v>1498</v>
      </c>
      <c r="B854" t="s">
        <v>108</v>
      </c>
      <c r="C854" t="s">
        <v>65</v>
      </c>
      <c r="D854" t="s">
        <v>1000</v>
      </c>
      <c r="E854" s="3" t="str">
        <f>HYPERLINK("http://www.otzar.org/book.asp?146134","ישמח ישראל - 2 כר'")</f>
        <v>ישמח ישראל - 2 כר'</v>
      </c>
    </row>
    <row r="855" spans="1:5" x14ac:dyDescent="0.2">
      <c r="A855" t="s">
        <v>1499</v>
      </c>
      <c r="B855" t="s">
        <v>342</v>
      </c>
      <c r="C855" t="s">
        <v>11</v>
      </c>
      <c r="D855" t="s">
        <v>8</v>
      </c>
      <c r="E855" s="3" t="str">
        <f>HYPERLINK("http://www.otzar.org/book.asp?163210","ישמיע כל תהלתו - 3 כר'")</f>
        <v>ישמיע כל תהלתו - 3 כר'</v>
      </c>
    </row>
    <row r="856" spans="1:5" x14ac:dyDescent="0.2">
      <c r="A856" t="s">
        <v>1500</v>
      </c>
      <c r="B856" t="s">
        <v>348</v>
      </c>
      <c r="C856" t="s">
        <v>148</v>
      </c>
      <c r="D856" t="s">
        <v>323</v>
      </c>
      <c r="E856" s="3" t="str">
        <f>HYPERLINK("http://www.otzar.org/book.asp?28833","ישראל נח הגדול")</f>
        <v>ישראל נח הגדול</v>
      </c>
    </row>
    <row r="857" spans="1:5" x14ac:dyDescent="0.2">
      <c r="A857" t="s">
        <v>1501</v>
      </c>
      <c r="B857" t="s">
        <v>1502</v>
      </c>
      <c r="C857" t="s">
        <v>76</v>
      </c>
      <c r="D857" t="s">
        <v>40</v>
      </c>
      <c r="E857" s="3" t="str">
        <f>HYPERLINK("http://www.otzar.org/book.asp?146573","יתבררו ויתלבנו הדברים")</f>
        <v>יתבררו ויתלבנו הדברים</v>
      </c>
    </row>
    <row r="858" spans="1:5" x14ac:dyDescent="0.2">
      <c r="A858" t="s">
        <v>1503</v>
      </c>
      <c r="B858" t="s">
        <v>10</v>
      </c>
      <c r="C858" t="s">
        <v>119</v>
      </c>
      <c r="D858" t="s">
        <v>571</v>
      </c>
      <c r="E858" s="3" t="str">
        <f>HYPERLINK("http://www.otzar.org/book.asp?145942","יתבררו ויתלבנו")</f>
        <v>יתבררו ויתלבנו</v>
      </c>
    </row>
    <row r="859" spans="1:5" x14ac:dyDescent="0.2">
      <c r="A859" t="s">
        <v>1504</v>
      </c>
      <c r="B859" t="s">
        <v>108</v>
      </c>
      <c r="C859" t="s">
        <v>122</v>
      </c>
      <c r="D859" t="s">
        <v>12</v>
      </c>
      <c r="E859" s="3" t="str">
        <f>HYPERLINK("http://www.otzar.org/book.asp?27277","כבוד חכמים עטרת פז")</f>
        <v>כבוד חכמים עטרת פז</v>
      </c>
    </row>
    <row r="860" spans="1:5" x14ac:dyDescent="0.2">
      <c r="A860" t="s">
        <v>1505</v>
      </c>
      <c r="B860" t="s">
        <v>1506</v>
      </c>
      <c r="C860" t="s">
        <v>67</v>
      </c>
      <c r="D860" t="s">
        <v>1507</v>
      </c>
      <c r="E860" s="3" t="str">
        <f>HYPERLINK("http://www.otzar.org/book.asp?27665","כבוד חכמים - 2 כר'")</f>
        <v>כבוד חכמים - 2 כר'</v>
      </c>
    </row>
    <row r="861" spans="1:5" x14ac:dyDescent="0.2">
      <c r="A861" t="s">
        <v>1508</v>
      </c>
      <c r="B861" t="s">
        <v>1509</v>
      </c>
      <c r="C861" t="s">
        <v>60</v>
      </c>
      <c r="D861" t="s">
        <v>40</v>
      </c>
      <c r="E861" s="3" t="str">
        <f>HYPERLINK("http://www.otzar.org/book.asp?27162","כבוד חכמים")</f>
        <v>כבוד חכמים</v>
      </c>
    </row>
    <row r="862" spans="1:5" x14ac:dyDescent="0.2">
      <c r="A862" t="s">
        <v>1510</v>
      </c>
      <c r="B862" t="s">
        <v>108</v>
      </c>
      <c r="C862" t="s">
        <v>65</v>
      </c>
      <c r="D862" t="s">
        <v>1511</v>
      </c>
      <c r="E862" s="3" t="str">
        <f>HYPERLINK("http://www.otzar.org/book.asp?27394","כבוד מלך")</f>
        <v>כבוד מלך</v>
      </c>
    </row>
    <row r="863" spans="1:5" x14ac:dyDescent="0.2">
      <c r="A863" t="s">
        <v>1512</v>
      </c>
      <c r="B863" t="s">
        <v>1513</v>
      </c>
      <c r="C863" t="s">
        <v>52</v>
      </c>
      <c r="D863" t="s">
        <v>332</v>
      </c>
      <c r="E863" s="3" t="str">
        <f>HYPERLINK("http://www.otzar.org/book.asp?141428","כבוד מלכים - פסחים")</f>
        <v>כבוד מלכים - פסחים</v>
      </c>
    </row>
    <row r="864" spans="1:5" x14ac:dyDescent="0.2">
      <c r="A864" t="s">
        <v>1514</v>
      </c>
      <c r="B864" t="s">
        <v>1515</v>
      </c>
      <c r="C864" t="s">
        <v>15</v>
      </c>
      <c r="D864" t="s">
        <v>8</v>
      </c>
      <c r="E864" s="3" t="str">
        <f>HYPERLINK("http://www.otzar.org/book.asp?627262","כבודה בת מלך")</f>
        <v>כבודה בת מלך</v>
      </c>
    </row>
    <row r="865" spans="1:5" x14ac:dyDescent="0.2">
      <c r="A865" t="s">
        <v>1516</v>
      </c>
      <c r="B865" t="s">
        <v>108</v>
      </c>
      <c r="C865" t="s">
        <v>301</v>
      </c>
      <c r="D865" t="s">
        <v>71</v>
      </c>
      <c r="E865" s="3" t="str">
        <f>HYPERLINK("http://www.otzar.org/book.asp?27734","כבודה של תורה - 6 כר'")</f>
        <v>כבודה של תורה - 6 כר'</v>
      </c>
    </row>
    <row r="866" spans="1:5" x14ac:dyDescent="0.2">
      <c r="A866" t="s">
        <v>1517</v>
      </c>
      <c r="B866" t="s">
        <v>1518</v>
      </c>
      <c r="C866" t="s">
        <v>67</v>
      </c>
      <c r="D866" t="s">
        <v>12</v>
      </c>
      <c r="E866" s="3" t="str">
        <f>HYPERLINK("http://www.otzar.org/book.asp?141366","כה תברכו")</f>
        <v>כה תברכו</v>
      </c>
    </row>
    <row r="867" spans="1:5" x14ac:dyDescent="0.2">
      <c r="A867" t="s">
        <v>1519</v>
      </c>
      <c r="B867" t="s">
        <v>1520</v>
      </c>
      <c r="C867" t="s">
        <v>11</v>
      </c>
      <c r="D867" t="s">
        <v>579</v>
      </c>
      <c r="E867" s="3" t="str">
        <f>HYPERLINK("http://www.otzar.org/book.asp?163060","כוחה של סנגוריה - 2 כר'")</f>
        <v>כוחה של סנגוריה - 2 כר'</v>
      </c>
    </row>
    <row r="868" spans="1:5" x14ac:dyDescent="0.2">
      <c r="A868" t="s">
        <v>1521</v>
      </c>
      <c r="B868" t="s">
        <v>1522</v>
      </c>
      <c r="C868" t="s">
        <v>213</v>
      </c>
      <c r="D868" t="s">
        <v>12</v>
      </c>
      <c r="E868" s="3" t="str">
        <f>HYPERLINK("http://www.otzar.org/book.asp?26956","כולם בחכמה - 2 כר'")</f>
        <v>כולם בחכמה - 2 כר'</v>
      </c>
    </row>
    <row r="869" spans="1:5" x14ac:dyDescent="0.2">
      <c r="A869" t="s">
        <v>1523</v>
      </c>
      <c r="B869" t="s">
        <v>1523</v>
      </c>
      <c r="C869" t="s">
        <v>86</v>
      </c>
      <c r="D869" t="s">
        <v>382</v>
      </c>
      <c r="E869" s="3" t="str">
        <f>HYPERLINK("http://www.otzar.org/book.asp?146194","כולנו כאחד")</f>
        <v>כולנו כאחד</v>
      </c>
    </row>
    <row r="870" spans="1:5" x14ac:dyDescent="0.2">
      <c r="A870" t="s">
        <v>1524</v>
      </c>
      <c r="B870" t="s">
        <v>699</v>
      </c>
      <c r="C870" t="s">
        <v>22</v>
      </c>
      <c r="D870" t="s">
        <v>116</v>
      </c>
      <c r="E870" s="3" t="str">
        <f>HYPERLINK("http://www.otzar.org/book.asp?27118","כי הם חיינו")</f>
        <v>כי הם חיינו</v>
      </c>
    </row>
    <row r="871" spans="1:5" x14ac:dyDescent="0.2">
      <c r="A871" t="s">
        <v>1525</v>
      </c>
      <c r="B871" t="s">
        <v>1526</v>
      </c>
      <c r="C871" t="s">
        <v>82</v>
      </c>
      <c r="D871" t="s">
        <v>8</v>
      </c>
      <c r="E871" s="3" t="str">
        <f>HYPERLINK("http://www.otzar.org/book.asp?607929","כי קדוש היום")</f>
        <v>כי קדוש היום</v>
      </c>
    </row>
    <row r="872" spans="1:5" x14ac:dyDescent="0.2">
      <c r="A872" t="s">
        <v>1527</v>
      </c>
      <c r="B872" t="s">
        <v>1528</v>
      </c>
      <c r="C872" t="s">
        <v>129</v>
      </c>
      <c r="D872" t="s">
        <v>40</v>
      </c>
      <c r="E872" s="3" t="str">
        <f>HYPERLINK("http://www.otzar.org/book.asp?145822","כינוס בית הבחירה - תשנ""ג")</f>
        <v>כינוס בית הבחירה - תשנ"ג</v>
      </c>
    </row>
    <row r="873" spans="1:5" x14ac:dyDescent="0.2">
      <c r="A873" t="s">
        <v>1529</v>
      </c>
      <c r="B873" t="s">
        <v>280</v>
      </c>
      <c r="C873" t="s">
        <v>22</v>
      </c>
      <c r="D873" t="s">
        <v>8</v>
      </c>
      <c r="E873" s="3" t="str">
        <f>HYPERLINK("http://www.otzar.org/book.asp?141641","כינוס השלוחים העולמי")</f>
        <v>כינוס השלוחים העולמי</v>
      </c>
    </row>
    <row r="874" spans="1:5" x14ac:dyDescent="0.2">
      <c r="A874" t="s">
        <v>1530</v>
      </c>
      <c r="B874" t="s">
        <v>1531</v>
      </c>
      <c r="D874" t="s">
        <v>857</v>
      </c>
      <c r="E874" s="3" t="str">
        <f>HYPERLINK("http://www.otzar.org/book.asp?607771","כינוס מחנכי חב""ד (באנגלית)")</f>
        <v>כינוס מחנכי חב"ד (באנגלית)</v>
      </c>
    </row>
    <row r="875" spans="1:5" x14ac:dyDescent="0.2">
      <c r="A875" t="s">
        <v>1532</v>
      </c>
      <c r="B875" t="s">
        <v>108</v>
      </c>
      <c r="C875" t="s">
        <v>122</v>
      </c>
      <c r="D875" t="s">
        <v>1533</v>
      </c>
      <c r="E875" s="3" t="str">
        <f>HYPERLINK("http://www.otzar.org/book.asp?27532","כינוס תורה (בוסטון)")</f>
        <v>כינוס תורה (בוסטון)</v>
      </c>
    </row>
    <row r="876" spans="1:5" x14ac:dyDescent="0.2">
      <c r="A876" t="s">
        <v>1534</v>
      </c>
      <c r="B876" t="s">
        <v>108</v>
      </c>
      <c r="C876" t="s">
        <v>305</v>
      </c>
      <c r="D876" t="s">
        <v>12</v>
      </c>
      <c r="E876" s="3" t="str">
        <f>HYPERLINK("http://www.otzar.org/book.asp?27743","כינוס תורה (כפר חב""ד) - 2 כר'")</f>
        <v>כינוס תורה (כפר חב"ד) - 2 כר'</v>
      </c>
    </row>
    <row r="877" spans="1:5" x14ac:dyDescent="0.2">
      <c r="A877" t="s">
        <v>1535</v>
      </c>
      <c r="B877" t="s">
        <v>108</v>
      </c>
      <c r="C877" t="s">
        <v>49</v>
      </c>
      <c r="D877" t="s">
        <v>816</v>
      </c>
      <c r="E877" s="3" t="str">
        <f>HYPERLINK("http://www.otzar.org/book.asp?27526","כינוס תורה (לונדון)")</f>
        <v>כינוס תורה (לונדון)</v>
      </c>
    </row>
    <row r="878" spans="1:5" x14ac:dyDescent="0.2">
      <c r="A878" t="s">
        <v>1536</v>
      </c>
      <c r="B878" t="s">
        <v>108</v>
      </c>
      <c r="C878" t="s">
        <v>201</v>
      </c>
      <c r="D878" t="s">
        <v>1537</v>
      </c>
      <c r="E878" s="3" t="str">
        <f>HYPERLINK("http://www.otzar.org/book.asp?146307","כינוס תורה (קאלקאסקא, מישיגען)")</f>
        <v>כינוס תורה (קאלקאסקא, מישיגען)</v>
      </c>
    </row>
    <row r="879" spans="1:5" x14ac:dyDescent="0.2">
      <c r="A879" t="s">
        <v>1538</v>
      </c>
      <c r="B879" t="s">
        <v>108</v>
      </c>
      <c r="C879" t="s">
        <v>60</v>
      </c>
      <c r="D879" t="s">
        <v>1539</v>
      </c>
      <c r="E879" s="3" t="str">
        <f>HYPERLINK("http://www.otzar.org/book.asp?146173","כינוס תורה (קזבלנקה)")</f>
        <v>כינוס תורה (קזבלנקה)</v>
      </c>
    </row>
    <row r="880" spans="1:5" x14ac:dyDescent="0.2">
      <c r="A880" t="s">
        <v>1540</v>
      </c>
      <c r="B880" t="s">
        <v>108</v>
      </c>
      <c r="C880" t="s">
        <v>67</v>
      </c>
      <c r="D880" t="s">
        <v>12</v>
      </c>
      <c r="E880" s="3" t="str">
        <f>HYPERLINK("http://www.otzar.org/book.asp?140923","כינוס תורה (קרית מלאכי) - א")</f>
        <v>כינוס תורה (קרית מלאכי) - א</v>
      </c>
    </row>
    <row r="881" spans="1:5" x14ac:dyDescent="0.2">
      <c r="A881" t="s">
        <v>1541</v>
      </c>
      <c r="B881" t="s">
        <v>108</v>
      </c>
      <c r="C881" t="s">
        <v>301</v>
      </c>
      <c r="D881" t="s">
        <v>1539</v>
      </c>
      <c r="E881" s="3" t="str">
        <f>HYPERLINK("http://www.otzar.org/book.asp?27487","כינוס תורה הגדול")</f>
        <v>כינוס תורה הגדול</v>
      </c>
    </row>
    <row r="882" spans="1:5" x14ac:dyDescent="0.2">
      <c r="A882" t="s">
        <v>1542</v>
      </c>
      <c r="B882" t="s">
        <v>108</v>
      </c>
      <c r="C882" t="s">
        <v>1543</v>
      </c>
      <c r="D882" t="s">
        <v>8</v>
      </c>
      <c r="E882" s="3" t="str">
        <f>HYPERLINK("http://www.otzar.org/book.asp?27719","כינוס תורה - 12 כר'")</f>
        <v>כינוס תורה - 12 כר'</v>
      </c>
    </row>
    <row r="883" spans="1:5" x14ac:dyDescent="0.2">
      <c r="A883" t="s">
        <v>1544</v>
      </c>
      <c r="B883" t="s">
        <v>1544</v>
      </c>
      <c r="C883" t="s">
        <v>122</v>
      </c>
      <c r="D883" t="s">
        <v>332</v>
      </c>
      <c r="E883" s="3" t="str">
        <f>HYPERLINK("http://www.otzar.org/book.asp?106086","כיצד מסלפים")</f>
        <v>כיצד מסלפים</v>
      </c>
    </row>
    <row r="884" spans="1:5" x14ac:dyDescent="0.2">
      <c r="A884" t="s">
        <v>1545</v>
      </c>
      <c r="B884" t="s">
        <v>984</v>
      </c>
      <c r="C884" t="s">
        <v>39</v>
      </c>
      <c r="D884" t="s">
        <v>166</v>
      </c>
      <c r="E884" s="3" t="str">
        <f>HYPERLINK("http://www.otzar.org/book.asp?141393","כיצד נחנך את ילדינו - 2 כר'")</f>
        <v>כיצד נחנך את ילדינו - 2 כר'</v>
      </c>
    </row>
    <row r="885" spans="1:5" x14ac:dyDescent="0.2">
      <c r="A885" t="s">
        <v>1546</v>
      </c>
      <c r="B885" t="s">
        <v>30</v>
      </c>
      <c r="C885" t="s">
        <v>119</v>
      </c>
      <c r="D885" t="s">
        <v>19</v>
      </c>
      <c r="E885" s="3" t="str">
        <f>HYPERLINK("http://www.otzar.org/book.asp?141584","כל היוצא למלחמת בית דוד")</f>
        <v>כל היוצא למלחמת בית דוד</v>
      </c>
    </row>
    <row r="886" spans="1:5" x14ac:dyDescent="0.2">
      <c r="A886" t="s">
        <v>1547</v>
      </c>
      <c r="B886" t="s">
        <v>1548</v>
      </c>
      <c r="C886" t="s">
        <v>31</v>
      </c>
      <c r="D886" t="s">
        <v>12</v>
      </c>
      <c r="E886" s="3" t="str">
        <f>HYPERLINK("http://www.otzar.org/book.asp?27091","כל סיפורי הרבי - 5 כר'")</f>
        <v>כל סיפורי הרבי - 5 כר'</v>
      </c>
    </row>
    <row r="887" spans="1:5" x14ac:dyDescent="0.2">
      <c r="A887" t="s">
        <v>1549</v>
      </c>
      <c r="B887" t="s">
        <v>1550</v>
      </c>
      <c r="C887" t="s">
        <v>76</v>
      </c>
      <c r="D887" t="s">
        <v>19</v>
      </c>
      <c r="E887" s="3" t="str">
        <f>HYPERLINK("http://www.otzar.org/book.asp?146231","כל עצמותי")</f>
        <v>כל עצמותי</v>
      </c>
    </row>
    <row r="888" spans="1:5" x14ac:dyDescent="0.2">
      <c r="A888" t="s">
        <v>1551</v>
      </c>
      <c r="B888" t="s">
        <v>1352</v>
      </c>
      <c r="C888" t="s">
        <v>165</v>
      </c>
      <c r="D888" t="s">
        <v>12</v>
      </c>
      <c r="E888" s="3" t="str">
        <f>HYPERLINK("http://www.otzar.org/book.asp?27104","כללי הפוסקים וההוראה")</f>
        <v>כללי הפוסקים וההוראה</v>
      </c>
    </row>
    <row r="889" spans="1:5" x14ac:dyDescent="0.2">
      <c r="A889" t="s">
        <v>1552</v>
      </c>
      <c r="B889" t="s">
        <v>1553</v>
      </c>
      <c r="C889" t="s">
        <v>22</v>
      </c>
      <c r="D889" t="s">
        <v>8</v>
      </c>
      <c r="E889" s="3" t="str">
        <f>HYPERLINK("http://www.otzar.org/book.asp?27251","כללי רמב""ם")</f>
        <v>כללי רמב"ם</v>
      </c>
    </row>
    <row r="890" spans="1:5" x14ac:dyDescent="0.2">
      <c r="A890" t="s">
        <v>1554</v>
      </c>
      <c r="B890" t="s">
        <v>1555</v>
      </c>
      <c r="C890" t="s">
        <v>142</v>
      </c>
      <c r="D890" t="s">
        <v>12</v>
      </c>
      <c r="E890" s="3" t="str">
        <f>HYPERLINK("http://www.otzar.org/book.asp?613885","כללי רש""י - 2 כר'")</f>
        <v>כללי רש"י - 2 כר'</v>
      </c>
    </row>
    <row r="891" spans="1:5" x14ac:dyDescent="0.2">
      <c r="A891" t="s">
        <v>1556</v>
      </c>
      <c r="B891" t="s">
        <v>24</v>
      </c>
      <c r="C891" t="s">
        <v>39</v>
      </c>
      <c r="D891" t="s">
        <v>8</v>
      </c>
      <c r="E891" s="3" t="str">
        <f>HYPERLINK("http://www.otzar.org/book.asp?142754","כללים בדא""ח")</f>
        <v>כללים בדא"ח</v>
      </c>
    </row>
    <row r="892" spans="1:5" x14ac:dyDescent="0.2">
      <c r="A892" t="s">
        <v>1557</v>
      </c>
      <c r="B892" t="s">
        <v>1184</v>
      </c>
      <c r="C892" t="s">
        <v>350</v>
      </c>
      <c r="D892" t="s">
        <v>12</v>
      </c>
      <c r="E892" s="3" t="str">
        <f>HYPERLINK("http://www.otzar.org/book.asp?607825","כמותו ממש")</f>
        <v>כמותו ממש</v>
      </c>
    </row>
    <row r="893" spans="1:5" x14ac:dyDescent="0.2">
      <c r="A893" t="s">
        <v>1558</v>
      </c>
      <c r="B893" t="s">
        <v>6</v>
      </c>
      <c r="C893" t="s">
        <v>142</v>
      </c>
      <c r="D893" t="s">
        <v>8</v>
      </c>
      <c r="E893" s="3" t="str">
        <f>HYPERLINK("http://www.otzar.org/book.asp?627061","כמים לים מכסים")</f>
        <v>כמים לים מכסים</v>
      </c>
    </row>
    <row r="894" spans="1:5" x14ac:dyDescent="0.2">
      <c r="A894" t="s">
        <v>1559</v>
      </c>
      <c r="B894" t="s">
        <v>1560</v>
      </c>
      <c r="C894" t="s">
        <v>15</v>
      </c>
      <c r="E894" s="3" t="str">
        <f>HYPERLINK("http://www.otzar.org/book.asp?607629","כן אמר הלל")</f>
        <v>כן אמר הלל</v>
      </c>
    </row>
    <row r="895" spans="1:5" x14ac:dyDescent="0.2">
      <c r="A895" t="s">
        <v>1561</v>
      </c>
      <c r="B895" t="s">
        <v>1562</v>
      </c>
      <c r="C895" t="s">
        <v>47</v>
      </c>
      <c r="D895" t="s">
        <v>1563</v>
      </c>
      <c r="E895" s="3" t="str">
        <f>HYPERLINK("http://www.otzar.org/book.asp?27530","כס המלך")</f>
        <v>כס המלך</v>
      </c>
    </row>
    <row r="896" spans="1:5" x14ac:dyDescent="0.2">
      <c r="A896" t="s">
        <v>1564</v>
      </c>
      <c r="B896" t="s">
        <v>30</v>
      </c>
      <c r="C896" t="s">
        <v>52</v>
      </c>
      <c r="D896" t="s">
        <v>12</v>
      </c>
      <c r="E896" s="3" t="str">
        <f>HYPERLINK("http://www.otzar.org/book.asp?27232","כפר חב""ד - 2 כר'")</f>
        <v>כפר חב"ד - 2 כר'</v>
      </c>
    </row>
    <row r="897" spans="1:5" x14ac:dyDescent="0.2">
      <c r="A897" t="s">
        <v>1565</v>
      </c>
      <c r="B897" t="s">
        <v>1566</v>
      </c>
      <c r="C897" t="s">
        <v>142</v>
      </c>
      <c r="D897" t="s">
        <v>12</v>
      </c>
      <c r="E897" s="3" t="str">
        <f>HYPERLINK("http://www.otzar.org/book.asp?611201","כפר של תפילה")</f>
        <v>כפר של תפילה</v>
      </c>
    </row>
    <row r="898" spans="1:5" x14ac:dyDescent="0.2">
      <c r="A898" t="s">
        <v>1567</v>
      </c>
      <c r="B898" t="s">
        <v>1568</v>
      </c>
      <c r="C898" t="s">
        <v>1569</v>
      </c>
      <c r="D898" t="s">
        <v>26</v>
      </c>
      <c r="E898" s="3" t="str">
        <f>HYPERLINK("http://www.otzar.org/book.asp?10531","כפתור ופרח")</f>
        <v>כפתור ופרח</v>
      </c>
    </row>
    <row r="899" spans="1:5" x14ac:dyDescent="0.2">
      <c r="A899" t="s">
        <v>1570</v>
      </c>
      <c r="B899" t="s">
        <v>1571</v>
      </c>
      <c r="C899" t="s">
        <v>47</v>
      </c>
      <c r="D899" t="s">
        <v>12</v>
      </c>
      <c r="E899" s="3" t="str">
        <f>HYPERLINK("http://www.otzar.org/book.asp?29323","כרם חב""ד - 3 כר'")</f>
        <v>כרם חב"ד - 3 כר'</v>
      </c>
    </row>
    <row r="900" spans="1:5" x14ac:dyDescent="0.2">
      <c r="A900" t="s">
        <v>1572</v>
      </c>
      <c r="B900" t="s">
        <v>1573</v>
      </c>
      <c r="C900" t="s">
        <v>148</v>
      </c>
      <c r="D900" t="s">
        <v>1574</v>
      </c>
      <c r="E900" s="3" t="str">
        <f>HYPERLINK("http://www.otzar.org/book.asp?53176","כרם מנחם - א")</f>
        <v>כרם מנחם - א</v>
      </c>
    </row>
    <row r="901" spans="1:5" x14ac:dyDescent="0.2">
      <c r="A901" t="s">
        <v>1575</v>
      </c>
      <c r="B901" t="s">
        <v>479</v>
      </c>
      <c r="C901" t="s">
        <v>15</v>
      </c>
      <c r="D901" t="s">
        <v>323</v>
      </c>
      <c r="E901" s="3" t="str">
        <f>HYPERLINK("http://www.otzar.org/book.asp?189093","כשהיינו ילדים")</f>
        <v>כשהיינו ילדים</v>
      </c>
    </row>
    <row r="902" spans="1:5" x14ac:dyDescent="0.2">
      <c r="A902" t="s">
        <v>1576</v>
      </c>
      <c r="B902" t="s">
        <v>1577</v>
      </c>
      <c r="C902" t="s">
        <v>142</v>
      </c>
      <c r="D902" t="s">
        <v>19</v>
      </c>
      <c r="E902" s="3" t="str">
        <f>HYPERLINK("http://www.otzar.org/book.asp?613915","כשיתבונן האדם - נושאים")</f>
        <v>כשיתבונן האדם - נושאים</v>
      </c>
    </row>
    <row r="903" spans="1:5" x14ac:dyDescent="0.2">
      <c r="A903" t="s">
        <v>1578</v>
      </c>
      <c r="B903" t="s">
        <v>1579</v>
      </c>
      <c r="C903" t="s">
        <v>165</v>
      </c>
      <c r="D903" t="s">
        <v>249</v>
      </c>
      <c r="E903" s="3" t="str">
        <f>HYPERLINK("http://www.otzar.org/book.asp?26513","כשרות")</f>
        <v>כשרות</v>
      </c>
    </row>
    <row r="904" spans="1:5" x14ac:dyDescent="0.2">
      <c r="A904" t="s">
        <v>1580</v>
      </c>
      <c r="B904" t="s">
        <v>431</v>
      </c>
      <c r="C904" t="s">
        <v>73</v>
      </c>
      <c r="D904" t="s">
        <v>8</v>
      </c>
      <c r="E904" s="3" t="str">
        <f>HYPERLINK("http://www.otzar.org/book.asp?181091","כתבי אברהם אליהו")</f>
        <v>כתבי אברהם אליהו</v>
      </c>
    </row>
    <row r="905" spans="1:5" x14ac:dyDescent="0.2">
      <c r="A905" t="s">
        <v>1581</v>
      </c>
      <c r="B905" t="s">
        <v>1582</v>
      </c>
      <c r="C905" t="s">
        <v>161</v>
      </c>
      <c r="D905" t="s">
        <v>8</v>
      </c>
      <c r="E905" s="3" t="str">
        <f>HYPERLINK("http://www.otzar.org/book.asp?26496","כתבי הרח""א ביחובסקי")</f>
        <v>כתבי הרח"א ביחובסקי</v>
      </c>
    </row>
    <row r="906" spans="1:5" x14ac:dyDescent="0.2">
      <c r="A906" t="s">
        <v>1583</v>
      </c>
      <c r="B906" t="s">
        <v>1584</v>
      </c>
      <c r="C906" t="s">
        <v>730</v>
      </c>
      <c r="D906" t="s">
        <v>1585</v>
      </c>
      <c r="E906" s="3" t="str">
        <f>HYPERLINK("http://www.otzar.org/book.asp?11505","כתבי קודש מחכמי אמת")</f>
        <v>כתבי קודש מחכמי אמת</v>
      </c>
    </row>
    <row r="907" spans="1:5" x14ac:dyDescent="0.2">
      <c r="A907" t="s">
        <v>1586</v>
      </c>
      <c r="B907" t="s">
        <v>1587</v>
      </c>
      <c r="C907" t="s">
        <v>161</v>
      </c>
      <c r="D907" t="s">
        <v>8</v>
      </c>
      <c r="E907" s="3" t="str">
        <f>HYPERLINK("http://www.otzar.org/book.asp?141603","כתבי ר' אייזיק - 3 כר'")</f>
        <v>כתבי ר' אייזיק - 3 כר'</v>
      </c>
    </row>
    <row r="908" spans="1:5" x14ac:dyDescent="0.2">
      <c r="A908" t="s">
        <v>1588</v>
      </c>
      <c r="B908" t="s">
        <v>1199</v>
      </c>
      <c r="C908" t="s">
        <v>350</v>
      </c>
      <c r="D908" t="s">
        <v>19</v>
      </c>
      <c r="E908" s="3" t="str">
        <f>HYPERLINK("http://www.otzar.org/book.asp?618924","כתר מלכות")</f>
        <v>כתר מלכות</v>
      </c>
    </row>
    <row r="909" spans="1:5" x14ac:dyDescent="0.2">
      <c r="A909" t="s">
        <v>1589</v>
      </c>
      <c r="B909" t="s">
        <v>545</v>
      </c>
      <c r="C909" t="s">
        <v>54</v>
      </c>
      <c r="D909" t="s">
        <v>1590</v>
      </c>
      <c r="E909" s="3" t="str">
        <f>HYPERLINK("http://www.otzar.org/book.asp?196126","כתר שם טוב השלם &lt;מהדורה חדשה&gt;")</f>
        <v>כתר שם טוב השלם &lt;מהדורה חדשה&gt;</v>
      </c>
    </row>
    <row r="910" spans="1:5" x14ac:dyDescent="0.2">
      <c r="A910" t="s">
        <v>1591</v>
      </c>
      <c r="B910" t="s">
        <v>545</v>
      </c>
      <c r="C910" t="s">
        <v>327</v>
      </c>
      <c r="D910" t="s">
        <v>1590</v>
      </c>
      <c r="E910" s="3" t="str">
        <f>HYPERLINK("http://www.otzar.org/book.asp?27144","כתר שם טוב השלם - 2 כר'")</f>
        <v>כתר שם טוב השלם - 2 כר'</v>
      </c>
    </row>
    <row r="911" spans="1:5" x14ac:dyDescent="0.2">
      <c r="A911" t="s">
        <v>1592</v>
      </c>
      <c r="B911" t="s">
        <v>545</v>
      </c>
      <c r="C911" t="s">
        <v>82</v>
      </c>
      <c r="D911" t="s">
        <v>80</v>
      </c>
      <c r="E911" s="3" t="str">
        <f>HYPERLINK("http://www.otzar.org/book.asp?607698","כתר שם טוב מפורש ומבואר - 2 כר'")</f>
        <v>כתר שם טוב מפורש ומבואר - 2 כר'</v>
      </c>
    </row>
    <row r="912" spans="1:5" x14ac:dyDescent="0.2">
      <c r="A912" t="s">
        <v>1593</v>
      </c>
      <c r="B912" t="s">
        <v>1387</v>
      </c>
      <c r="C912" t="s">
        <v>82</v>
      </c>
      <c r="D912" t="s">
        <v>12</v>
      </c>
      <c r="E912" s="3" t="str">
        <f>HYPERLINK("http://www.otzar.org/book.asp?607888","ל""ב סביון")</f>
        <v>ל"ב סביון</v>
      </c>
    </row>
    <row r="913" spans="1:5" x14ac:dyDescent="0.2">
      <c r="A913" t="s">
        <v>1594</v>
      </c>
      <c r="B913" t="s">
        <v>10</v>
      </c>
      <c r="C913" t="s">
        <v>76</v>
      </c>
      <c r="D913" t="s">
        <v>19</v>
      </c>
      <c r="E913" s="3" t="str">
        <f>HYPERLINK("http://www.otzar.org/book.asp?145999","לא יהיה לך אלקים אחרים על פני")</f>
        <v>לא יהיה לך אלקים אחרים על פני</v>
      </c>
    </row>
    <row r="914" spans="1:5" x14ac:dyDescent="0.2">
      <c r="A914" t="s">
        <v>1595</v>
      </c>
      <c r="B914" t="s">
        <v>30</v>
      </c>
      <c r="C914" t="s">
        <v>44</v>
      </c>
      <c r="D914" t="s">
        <v>19</v>
      </c>
      <c r="E914" s="3" t="str">
        <f>HYPERLINK("http://www.otzar.org/book.asp?614912","לא יצא בצבא")</f>
        <v>לא יצא בצבא</v>
      </c>
    </row>
    <row r="915" spans="1:5" x14ac:dyDescent="0.2">
      <c r="A915" t="s">
        <v>1596</v>
      </c>
      <c r="B915" t="s">
        <v>1597</v>
      </c>
      <c r="C915" t="s">
        <v>1019</v>
      </c>
      <c r="D915" t="s">
        <v>12</v>
      </c>
      <c r="E915" s="3" t="str">
        <f>HYPERLINK("http://www.otzar.org/book.asp?140879","לא תשתחוו (מחיי הקאנטוניסטים)")</f>
        <v>לא תשתחוו (מחיי הקאנטוניסטים)</v>
      </c>
    </row>
    <row r="916" spans="1:5" x14ac:dyDescent="0.2">
      <c r="A916" t="s">
        <v>1598</v>
      </c>
      <c r="B916" t="s">
        <v>842</v>
      </c>
      <c r="C916" t="s">
        <v>82</v>
      </c>
      <c r="D916" t="s">
        <v>12</v>
      </c>
      <c r="E916" s="3" t="str">
        <f>HYPERLINK("http://www.otzar.org/book.asp?607922","לאהוב")</f>
        <v>לאהוב</v>
      </c>
    </row>
    <row r="917" spans="1:5" x14ac:dyDescent="0.2">
      <c r="A917" t="s">
        <v>1599</v>
      </c>
      <c r="B917" t="s">
        <v>984</v>
      </c>
      <c r="C917" t="s">
        <v>86</v>
      </c>
      <c r="D917" t="s">
        <v>40</v>
      </c>
      <c r="E917" s="3" t="str">
        <f>HYPERLINK("http://www.otzar.org/book.asp?147748","לאורם נתחנך - 2 כר'")</f>
        <v>לאורם נתחנך - 2 כר'</v>
      </c>
    </row>
    <row r="918" spans="1:5" x14ac:dyDescent="0.2">
      <c r="A918" t="s">
        <v>1600</v>
      </c>
      <c r="B918" t="s">
        <v>1601</v>
      </c>
      <c r="C918" t="s">
        <v>191</v>
      </c>
      <c r="D918" t="s">
        <v>12</v>
      </c>
      <c r="E918" s="3" t="str">
        <f>HYPERLINK("http://www.otzar.org/book.asp?85013","לב הארי")</f>
        <v>לב הארי</v>
      </c>
    </row>
    <row r="919" spans="1:5" x14ac:dyDescent="0.2">
      <c r="A919" t="s">
        <v>1602</v>
      </c>
      <c r="B919" t="s">
        <v>1603</v>
      </c>
      <c r="C919" t="s">
        <v>39</v>
      </c>
      <c r="D919" t="s">
        <v>315</v>
      </c>
      <c r="E919" s="3" t="str">
        <f>HYPERLINK("http://www.otzar.org/book.asp?142273","לב השבת")</f>
        <v>לב השבת</v>
      </c>
    </row>
    <row r="920" spans="1:5" x14ac:dyDescent="0.2">
      <c r="A920" t="s">
        <v>1604</v>
      </c>
      <c r="B920" t="s">
        <v>1429</v>
      </c>
      <c r="C920" t="s">
        <v>76</v>
      </c>
      <c r="D920" t="s">
        <v>12</v>
      </c>
      <c r="E920" s="3" t="str">
        <f>HYPERLINK("http://www.otzar.org/book.asp?154703","לב טהור")</f>
        <v>לב טהור</v>
      </c>
    </row>
    <row r="921" spans="1:5" x14ac:dyDescent="0.2">
      <c r="A921" t="s">
        <v>1605</v>
      </c>
      <c r="B921" t="s">
        <v>1606</v>
      </c>
      <c r="C921" t="s">
        <v>44</v>
      </c>
      <c r="D921" t="s">
        <v>40</v>
      </c>
      <c r="E921" s="3" t="str">
        <f>HYPERLINK("http://www.otzar.org/book.asp?173835","לב יהודה")</f>
        <v>לב יהודה</v>
      </c>
    </row>
    <row r="922" spans="1:5" x14ac:dyDescent="0.2">
      <c r="A922" t="s">
        <v>1607</v>
      </c>
      <c r="B922" t="s">
        <v>224</v>
      </c>
      <c r="C922" t="s">
        <v>119</v>
      </c>
      <c r="D922" t="s">
        <v>240</v>
      </c>
      <c r="E922" s="3" t="str">
        <f>HYPERLINK("http://www.otzar.org/book.asp?27290","לב לדעת")</f>
        <v>לב לדעת</v>
      </c>
    </row>
    <row r="923" spans="1:5" x14ac:dyDescent="0.2">
      <c r="A923" t="s">
        <v>1608</v>
      </c>
      <c r="B923" t="s">
        <v>1609</v>
      </c>
      <c r="C923" t="s">
        <v>161</v>
      </c>
      <c r="D923" t="s">
        <v>8</v>
      </c>
      <c r="E923" s="3" t="str">
        <f>HYPERLINK("http://www.otzar.org/book.asp?27268","לב לדעת - 3 כר'")</f>
        <v>לב לדעת - 3 כר'</v>
      </c>
    </row>
    <row r="924" spans="1:5" x14ac:dyDescent="0.2">
      <c r="A924" t="s">
        <v>1610</v>
      </c>
      <c r="B924" t="s">
        <v>1577</v>
      </c>
      <c r="C924" t="s">
        <v>15</v>
      </c>
      <c r="D924" t="s">
        <v>40</v>
      </c>
      <c r="E924" s="3" t="str">
        <f>HYPERLINK("http://www.otzar.org/book.asp?615032","לב לדעת - 5 כר'")</f>
        <v>לב לדעת - 5 כר'</v>
      </c>
    </row>
    <row r="925" spans="1:5" x14ac:dyDescent="0.2">
      <c r="A925" t="s">
        <v>1611</v>
      </c>
      <c r="B925" t="s">
        <v>422</v>
      </c>
      <c r="C925" t="s">
        <v>142</v>
      </c>
      <c r="D925" t="s">
        <v>8</v>
      </c>
      <c r="E925" s="3" t="str">
        <f>HYPERLINK("http://www.otzar.org/book.asp?621049","לבקר בהיכלו - הכנה לנסיעה לחצרות קדשנו")</f>
        <v>לבקר בהיכלו - הכנה לנסיעה לחצרות קדשנו</v>
      </c>
    </row>
    <row r="926" spans="1:5" x14ac:dyDescent="0.2">
      <c r="A926" t="s">
        <v>1612</v>
      </c>
      <c r="B926" t="s">
        <v>1613</v>
      </c>
      <c r="C926" t="s">
        <v>148</v>
      </c>
      <c r="D926" t="s">
        <v>12</v>
      </c>
      <c r="E926" s="3" t="str">
        <f>HYPERLINK("http://www.otzar.org/book.asp?146557","לבשי בגדי תפארתך - א-ג")</f>
        <v>לבשי בגדי תפארתך - א-ג</v>
      </c>
    </row>
    <row r="927" spans="1:5" x14ac:dyDescent="0.2">
      <c r="A927" t="s">
        <v>1614</v>
      </c>
      <c r="B927" t="s">
        <v>108</v>
      </c>
      <c r="C927" t="s">
        <v>60</v>
      </c>
      <c r="D927" t="s">
        <v>1228</v>
      </c>
      <c r="E927" s="3" t="str">
        <f>HYPERLINK("http://www.otzar.org/book.asp?27475","לגבורה של תורה")</f>
        <v>לגבורה של תורה</v>
      </c>
    </row>
    <row r="928" spans="1:5" x14ac:dyDescent="0.2">
      <c r="A928" t="s">
        <v>1615</v>
      </c>
      <c r="B928" t="s">
        <v>1616</v>
      </c>
      <c r="C928" t="s">
        <v>67</v>
      </c>
      <c r="D928" t="s">
        <v>19</v>
      </c>
      <c r="E928" s="3" t="str">
        <f>HYPERLINK("http://www.otzar.org/book.asp?27417","לגעת בנשמות")</f>
        <v>לגעת בנשמות</v>
      </c>
    </row>
    <row r="929" spans="1:5" x14ac:dyDescent="0.2">
      <c r="A929" t="s">
        <v>1617</v>
      </c>
      <c r="B929" t="s">
        <v>10</v>
      </c>
      <c r="C929" t="s">
        <v>39</v>
      </c>
      <c r="D929" t="s">
        <v>12</v>
      </c>
      <c r="E929" s="3" t="str">
        <f>HYPERLINK("http://www.otzar.org/book.asp?611969","לדעת להאמין")</f>
        <v>לדעת להאמין</v>
      </c>
    </row>
    <row r="930" spans="1:5" x14ac:dyDescent="0.2">
      <c r="A930" t="s">
        <v>1618</v>
      </c>
      <c r="B930" t="s">
        <v>1619</v>
      </c>
      <c r="C930" t="s">
        <v>47</v>
      </c>
      <c r="D930" t="s">
        <v>19</v>
      </c>
      <c r="E930" s="3" t="str">
        <f>HYPERLINK("http://www.otzar.org/book.asp?145958","להביא לימות המשיח")</f>
        <v>להביא לימות המשיח</v>
      </c>
    </row>
    <row r="931" spans="1:5" x14ac:dyDescent="0.2">
      <c r="A931" t="s">
        <v>1618</v>
      </c>
      <c r="B931" t="s">
        <v>1620</v>
      </c>
      <c r="C931" t="s">
        <v>73</v>
      </c>
      <c r="D931" t="s">
        <v>8</v>
      </c>
      <c r="E931" s="3" t="str">
        <f>HYPERLINK("http://www.otzar.org/book.asp?614934","להביא לימות המשיח")</f>
        <v>להביא לימות המשיח</v>
      </c>
    </row>
    <row r="932" spans="1:5" x14ac:dyDescent="0.2">
      <c r="A932" t="s">
        <v>1618</v>
      </c>
      <c r="B932" t="s">
        <v>1621</v>
      </c>
      <c r="C932" t="s">
        <v>129</v>
      </c>
      <c r="D932" t="s">
        <v>12</v>
      </c>
      <c r="E932" s="3" t="str">
        <f>HYPERLINK("http://www.otzar.org/book.asp?146240","להביא לימות המשיח")</f>
        <v>להביא לימות המשיח</v>
      </c>
    </row>
    <row r="933" spans="1:5" x14ac:dyDescent="0.2">
      <c r="A933" t="s">
        <v>1622</v>
      </c>
      <c r="B933" t="s">
        <v>1623</v>
      </c>
      <c r="C933" t="s">
        <v>15</v>
      </c>
      <c r="D933" t="s">
        <v>80</v>
      </c>
      <c r="E933" s="3" t="str">
        <f>HYPERLINK("http://www.otzar.org/book.asp?195730","להבין ולהשכיל")</f>
        <v>להבין ולהשכיל</v>
      </c>
    </row>
    <row r="934" spans="1:5" x14ac:dyDescent="0.2">
      <c r="A934" t="s">
        <v>1624</v>
      </c>
      <c r="B934" t="s">
        <v>1122</v>
      </c>
      <c r="C934" t="s">
        <v>7</v>
      </c>
      <c r="D934" t="s">
        <v>12</v>
      </c>
      <c r="E934" s="3" t="str">
        <f>HYPERLINK("http://www.otzar.org/book.asp?622497","להבין חסידות")</f>
        <v>להבין חסידות</v>
      </c>
    </row>
    <row r="935" spans="1:5" x14ac:dyDescent="0.2">
      <c r="A935" t="s">
        <v>1625</v>
      </c>
      <c r="B935" t="s">
        <v>1626</v>
      </c>
      <c r="C935" t="s">
        <v>73</v>
      </c>
      <c r="D935" t="s">
        <v>8</v>
      </c>
      <c r="E935" s="3" t="str">
        <f>HYPERLINK("http://www.otzar.org/book.asp?181111","להודות ולהלל - בדיני חנוכה ופורים")</f>
        <v>להודות ולהלל - בדיני חנוכה ופורים</v>
      </c>
    </row>
    <row r="936" spans="1:5" x14ac:dyDescent="0.2">
      <c r="A936" t="s">
        <v>1627</v>
      </c>
      <c r="B936" t="s">
        <v>1628</v>
      </c>
      <c r="C936" t="s">
        <v>11</v>
      </c>
      <c r="D936" t="s">
        <v>8</v>
      </c>
      <c r="E936" s="3" t="str">
        <f>HYPERLINK("http://www.otzar.org/book.asp?164337","להיות בשמחה תמיד")</f>
        <v>להיות בשמחה תמיד</v>
      </c>
    </row>
    <row r="937" spans="1:5" x14ac:dyDescent="0.2">
      <c r="A937" t="s">
        <v>1629</v>
      </c>
      <c r="B937" t="s">
        <v>108</v>
      </c>
      <c r="C937" t="s">
        <v>39</v>
      </c>
      <c r="D937" t="s">
        <v>116</v>
      </c>
      <c r="E937" s="3" t="str">
        <f>HYPERLINK("http://www.otzar.org/book.asp?142711","להעלות נר תמיד - א")</f>
        <v>להעלות נר תמיד - א</v>
      </c>
    </row>
    <row r="938" spans="1:5" x14ac:dyDescent="0.2">
      <c r="A938" t="s">
        <v>1630</v>
      </c>
      <c r="B938" t="s">
        <v>6</v>
      </c>
      <c r="C938" t="s">
        <v>44</v>
      </c>
      <c r="D938" t="s">
        <v>8</v>
      </c>
      <c r="E938" s="3" t="str">
        <f>HYPERLINK("http://www.otzar.org/book.asp?614957","להשבית אויב ומתנקם")</f>
        <v>להשבית אויב ומתנקם</v>
      </c>
    </row>
    <row r="939" spans="1:5" x14ac:dyDescent="0.2">
      <c r="A939" t="s">
        <v>1631</v>
      </c>
      <c r="B939" t="s">
        <v>24</v>
      </c>
      <c r="C939" t="s">
        <v>115</v>
      </c>
      <c r="D939" t="s">
        <v>240</v>
      </c>
      <c r="E939" s="3" t="str">
        <f>HYPERLINK("http://www.otzar.org/book.asp?160017","להשכילך בינה")</f>
        <v>להשכילך בינה</v>
      </c>
    </row>
    <row r="940" spans="1:5" x14ac:dyDescent="0.2">
      <c r="A940" t="s">
        <v>1632</v>
      </c>
      <c r="B940" t="s">
        <v>1633</v>
      </c>
      <c r="C940" t="s">
        <v>76</v>
      </c>
      <c r="D940" t="s">
        <v>12</v>
      </c>
      <c r="E940" s="3" t="str">
        <f>HYPERLINK("http://www.otzar.org/book.asp?27875","להתכונן")</f>
        <v>להתכונן</v>
      </c>
    </row>
    <row r="941" spans="1:5" x14ac:dyDescent="0.2">
      <c r="A941" t="s">
        <v>1634</v>
      </c>
      <c r="B941" t="s">
        <v>1635</v>
      </c>
      <c r="C941" t="s">
        <v>165</v>
      </c>
      <c r="D941" t="s">
        <v>816</v>
      </c>
      <c r="E941" s="3" t="str">
        <f>HYPERLINK("http://www.otzar.org/book.asp?28820","לוח השמטות ותיקונים על סידור רבינו הזקן")</f>
        <v>לוח השמטות ותיקונים על סידור רבינו הזקן</v>
      </c>
    </row>
    <row r="942" spans="1:5" x14ac:dyDescent="0.2">
      <c r="A942" t="s">
        <v>1636</v>
      </c>
      <c r="B942" t="s">
        <v>1637</v>
      </c>
      <c r="C942" t="s">
        <v>76</v>
      </c>
      <c r="D942" t="s">
        <v>19</v>
      </c>
      <c r="E942" s="3" t="str">
        <f>HYPERLINK("http://www.otzar.org/book.asp?171721","לוח התיקון לשו""ע אדמו""ר הזקן תשס""א-תשס""ז")</f>
        <v>לוח התיקון לשו"ע אדמו"ר הזקן תשס"א-תשס"ז</v>
      </c>
    </row>
    <row r="943" spans="1:5" x14ac:dyDescent="0.2">
      <c r="A943" t="s">
        <v>1638</v>
      </c>
      <c r="B943" t="s">
        <v>1639</v>
      </c>
      <c r="C943" t="s">
        <v>477</v>
      </c>
      <c r="D943" t="s">
        <v>12</v>
      </c>
      <c r="E943" s="3" t="str">
        <f>HYPERLINK("http://www.otzar.org/book.asp?140874","לוח חב""ד - תשנ""ג")</f>
        <v>לוח חב"ד - תשנ"ג</v>
      </c>
    </row>
    <row r="944" spans="1:5" x14ac:dyDescent="0.2">
      <c r="A944" t="s">
        <v>1640</v>
      </c>
      <c r="B944" t="s">
        <v>1641</v>
      </c>
      <c r="C944" t="s">
        <v>15</v>
      </c>
      <c r="D944" t="s">
        <v>8</v>
      </c>
      <c r="E944" s="3" t="str">
        <f>HYPERLINK("http://www.otzar.org/book.asp?607676","לוח יום יומי הלכה למעשה - חג השבועות")</f>
        <v>לוח יום יומי הלכה למעשה - חג השבועות</v>
      </c>
    </row>
    <row r="945" spans="1:5" x14ac:dyDescent="0.2">
      <c r="A945" t="s">
        <v>1642</v>
      </c>
      <c r="B945" t="s">
        <v>1643</v>
      </c>
      <c r="C945" t="s">
        <v>34</v>
      </c>
      <c r="D945" t="s">
        <v>40</v>
      </c>
      <c r="E945" s="3" t="str">
        <f>HYPERLINK("http://www.otzar.org/book.asp?150935","לוח כולל חב""ד לשנת תש""ע")</f>
        <v>לוח כולל חב"ד לשנת תש"ע</v>
      </c>
    </row>
    <row r="946" spans="1:5" x14ac:dyDescent="0.2">
      <c r="A946" t="s">
        <v>1644</v>
      </c>
      <c r="B946" t="s">
        <v>1643</v>
      </c>
      <c r="C946" t="s">
        <v>39</v>
      </c>
      <c r="D946" t="s">
        <v>40</v>
      </c>
      <c r="E946" s="3" t="str">
        <f>HYPERLINK("http://www.otzar.org/book.asp?140872","לוח כולל חב""ד לשנת תשס""ז")</f>
        <v>לוח כולל חב"ד לשנת תשס"ז</v>
      </c>
    </row>
    <row r="947" spans="1:5" x14ac:dyDescent="0.2">
      <c r="A947" t="s">
        <v>1645</v>
      </c>
      <c r="B947" t="s">
        <v>1643</v>
      </c>
      <c r="C947" t="s">
        <v>11</v>
      </c>
      <c r="D947" t="s">
        <v>40</v>
      </c>
      <c r="E947" s="3" t="str">
        <f>HYPERLINK("http://www.otzar.org/book.asp?157283","לוח כולל חב""ד לשנת תשע""א")</f>
        <v>לוח כולל חב"ד לשנת תשע"א</v>
      </c>
    </row>
    <row r="948" spans="1:5" x14ac:dyDescent="0.2">
      <c r="A948" t="s">
        <v>1646</v>
      </c>
      <c r="B948" t="s">
        <v>1643</v>
      </c>
      <c r="C948" t="s">
        <v>44</v>
      </c>
      <c r="D948" t="s">
        <v>40</v>
      </c>
      <c r="E948" s="3" t="str">
        <f>HYPERLINK("http://www.otzar.org/book.asp?614931","לוח כולל חב""ד לשנת תשע""ג")</f>
        <v>לוח כולל חב"ד לשנת תשע"ג</v>
      </c>
    </row>
    <row r="949" spans="1:5" x14ac:dyDescent="0.2">
      <c r="A949" t="s">
        <v>1647</v>
      </c>
      <c r="B949" t="s">
        <v>1648</v>
      </c>
      <c r="C949" t="s">
        <v>39</v>
      </c>
      <c r="D949" t="s">
        <v>181</v>
      </c>
      <c r="E949" s="3" t="str">
        <f>HYPERLINK("http://www.otzar.org/book.asp?142715","לוח ראשי תיבות חב""ד")</f>
        <v>לוח ראשי תיבות חב"ד</v>
      </c>
    </row>
    <row r="950" spans="1:5" x14ac:dyDescent="0.2">
      <c r="A950" t="s">
        <v>1649</v>
      </c>
      <c r="B950" t="s">
        <v>1650</v>
      </c>
      <c r="C950" t="s">
        <v>15</v>
      </c>
      <c r="D950" t="s">
        <v>12</v>
      </c>
      <c r="E950" s="3" t="str">
        <f>HYPERLINK("http://www.otzar.org/book.asp?607967","לחוש איך זה מחוב""ד")</f>
        <v>לחוש איך זה מחוב"ד</v>
      </c>
    </row>
    <row r="951" spans="1:5" x14ac:dyDescent="0.2">
      <c r="A951" t="s">
        <v>1651</v>
      </c>
      <c r="B951" t="s">
        <v>239</v>
      </c>
      <c r="C951" t="s">
        <v>276</v>
      </c>
      <c r="D951" t="s">
        <v>8</v>
      </c>
      <c r="E951" s="3" t="str">
        <f>HYPERLINK("http://www.otzar.org/book.asp?27116","לחיות ושוב לחיות")</f>
        <v>לחיות ושוב לחיות</v>
      </c>
    </row>
    <row r="952" spans="1:5" x14ac:dyDescent="0.2">
      <c r="A952" t="s">
        <v>1652</v>
      </c>
      <c r="B952" t="s">
        <v>1653</v>
      </c>
      <c r="C952" t="s">
        <v>213</v>
      </c>
      <c r="D952" t="s">
        <v>8</v>
      </c>
      <c r="E952" s="3" t="str">
        <f>HYPERLINK("http://www.otzar.org/book.asp?145963","לחיות עם הזמן")</f>
        <v>לחיות עם הזמן</v>
      </c>
    </row>
    <row r="953" spans="1:5" x14ac:dyDescent="0.2">
      <c r="A953" t="s">
        <v>1654</v>
      </c>
      <c r="B953" t="s">
        <v>1654</v>
      </c>
      <c r="C953" t="s">
        <v>653</v>
      </c>
      <c r="D953" t="s">
        <v>19</v>
      </c>
      <c r="E953" s="3" t="str">
        <f>HYPERLINK("http://www.otzar.org/book.asp?614801","לחיות עם זה")</f>
        <v>לחיות עם זה</v>
      </c>
    </row>
    <row r="954" spans="1:5" x14ac:dyDescent="0.2">
      <c r="A954" t="s">
        <v>1655</v>
      </c>
      <c r="B954" t="s">
        <v>1656</v>
      </c>
      <c r="C954" t="s">
        <v>350</v>
      </c>
      <c r="D954" t="s">
        <v>12</v>
      </c>
      <c r="E954" s="3" t="str">
        <f>HYPERLINK("http://www.otzar.org/book.asp?607706","לחיים ולברכה")</f>
        <v>לחיים ולברכה</v>
      </c>
    </row>
    <row r="955" spans="1:5" x14ac:dyDescent="0.2">
      <c r="A955" t="s">
        <v>1655</v>
      </c>
      <c r="B955" t="s">
        <v>1657</v>
      </c>
      <c r="C955" t="s">
        <v>44</v>
      </c>
      <c r="D955" t="s">
        <v>12</v>
      </c>
      <c r="E955" s="3" t="str">
        <f>HYPERLINK("http://www.otzar.org/book.asp?173489","לחיים ולברכה")</f>
        <v>לחיים ולברכה</v>
      </c>
    </row>
    <row r="956" spans="1:5" x14ac:dyDescent="0.2">
      <c r="A956" t="s">
        <v>1655</v>
      </c>
      <c r="B956" t="s">
        <v>1116</v>
      </c>
      <c r="C956" t="s">
        <v>73</v>
      </c>
      <c r="D956" t="s">
        <v>12</v>
      </c>
      <c r="E956" s="3" t="str">
        <f>HYPERLINK("http://www.otzar.org/book.asp?181118","לחיים ולברכה")</f>
        <v>לחיים ולברכה</v>
      </c>
    </row>
    <row r="957" spans="1:5" x14ac:dyDescent="0.2">
      <c r="A957" t="s">
        <v>1658</v>
      </c>
      <c r="B957" t="s">
        <v>1659</v>
      </c>
      <c r="C957" t="s">
        <v>301</v>
      </c>
      <c r="D957" t="s">
        <v>12</v>
      </c>
      <c r="E957" s="3" t="str">
        <f>HYPERLINK("http://www.otzar.org/book.asp?27099","לחשוב כיהודי")</f>
        <v>לחשוב כיהודי</v>
      </c>
    </row>
    <row r="958" spans="1:5" x14ac:dyDescent="0.2">
      <c r="A958" t="s">
        <v>1660</v>
      </c>
      <c r="B958" t="s">
        <v>1661</v>
      </c>
      <c r="C958" t="s">
        <v>165</v>
      </c>
      <c r="D958" t="s">
        <v>657</v>
      </c>
      <c r="E958" s="3" t="str">
        <f>HYPERLINK("http://www.otzar.org/book.asp?28812","לטביה בתי כנסת ורבנים")</f>
        <v>לטביה בתי כנסת ורבנים</v>
      </c>
    </row>
    <row r="959" spans="1:5" x14ac:dyDescent="0.2">
      <c r="A959" t="s">
        <v>1662</v>
      </c>
      <c r="B959" t="s">
        <v>1663</v>
      </c>
      <c r="C959" t="s">
        <v>301</v>
      </c>
      <c r="D959" t="s">
        <v>240</v>
      </c>
      <c r="E959" s="3" t="str">
        <f>HYPERLINK("http://www.otzar.org/book.asp?28713","ליובאוויטש וחיילה")</f>
        <v>ליובאוויטש וחיילה</v>
      </c>
    </row>
    <row r="960" spans="1:5" x14ac:dyDescent="0.2">
      <c r="A960" t="s">
        <v>1664</v>
      </c>
      <c r="B960" t="s">
        <v>594</v>
      </c>
      <c r="C960" t="s">
        <v>82</v>
      </c>
      <c r="D960" t="s">
        <v>19</v>
      </c>
      <c r="E960" s="3" t="str">
        <f>HYPERLINK("http://www.otzar.org/book.asp?607917","ליובאוויטש ערש חסידות חב""ד")</f>
        <v>ליובאוויטש ערש חסידות חב"ד</v>
      </c>
    </row>
    <row r="961" spans="1:5" x14ac:dyDescent="0.2">
      <c r="A961" t="s">
        <v>1665</v>
      </c>
      <c r="B961" t="s">
        <v>514</v>
      </c>
      <c r="C961" t="s">
        <v>76</v>
      </c>
      <c r="D961" t="s">
        <v>8</v>
      </c>
      <c r="E961" s="3" t="str">
        <f>HYPERLINK("http://www.otzar.org/book.asp?607647","ליובאוויטש שבליובאוויטש - 2 כר'")</f>
        <v>ליובאוויטש שבליובאוויטש - 2 כר'</v>
      </c>
    </row>
    <row r="962" spans="1:5" x14ac:dyDescent="0.2">
      <c r="A962" t="s">
        <v>1666</v>
      </c>
      <c r="B962" t="s">
        <v>1667</v>
      </c>
      <c r="C962" t="s">
        <v>183</v>
      </c>
      <c r="D962" t="s">
        <v>741</v>
      </c>
      <c r="E962" s="3" t="str">
        <f>HYPERLINK("http://www.otzar.org/book.asp?27558","ליובאוויטש - תולדות העיירה")</f>
        <v>ליובאוויטש - תולדות העיירה</v>
      </c>
    </row>
    <row r="963" spans="1:5" x14ac:dyDescent="0.2">
      <c r="A963" t="s">
        <v>1668</v>
      </c>
      <c r="B963" t="s">
        <v>1668</v>
      </c>
      <c r="C963" t="s">
        <v>148</v>
      </c>
      <c r="D963" t="s">
        <v>12</v>
      </c>
      <c r="E963" s="3" t="str">
        <f>HYPERLINK("http://www.otzar.org/book.asp?29242","ליובאוויטשע מצה")</f>
        <v>ליובאוויטשע מצה</v>
      </c>
    </row>
    <row r="964" spans="1:5" x14ac:dyDescent="0.2">
      <c r="A964" t="s">
        <v>1669</v>
      </c>
      <c r="B964" t="s">
        <v>1670</v>
      </c>
      <c r="C964" t="s">
        <v>1671</v>
      </c>
      <c r="D964" t="s">
        <v>8</v>
      </c>
      <c r="E964" s="3" t="str">
        <f>HYPERLINK("http://www.otzar.org/book.asp?148469","ליכט שטראלן - 6 כר'")</f>
        <v>ליכט שטראלן - 6 כר'</v>
      </c>
    </row>
    <row r="965" spans="1:5" x14ac:dyDescent="0.2">
      <c r="A965" t="s">
        <v>1672</v>
      </c>
      <c r="B965" t="s">
        <v>38</v>
      </c>
      <c r="C965" t="s">
        <v>22</v>
      </c>
      <c r="D965" t="s">
        <v>92</v>
      </c>
      <c r="E965" s="3" t="str">
        <f>HYPERLINK("http://www.otzar.org/book.asp?26460","לימוד החסידות")</f>
        <v>לימוד החסידות</v>
      </c>
    </row>
    <row r="966" spans="1:5" x14ac:dyDescent="0.2">
      <c r="A966" t="s">
        <v>1673</v>
      </c>
      <c r="B966" t="s">
        <v>30</v>
      </c>
      <c r="C966" t="s">
        <v>82</v>
      </c>
      <c r="D966" t="s">
        <v>1674</v>
      </c>
      <c r="E966" s="3" t="str">
        <f>HYPERLINK("http://www.otzar.org/book.asp?608003","ליקוט בנושא הכנסת הילד לחדר")</f>
        <v>ליקוט בנושא הכנסת הילד לחדר</v>
      </c>
    </row>
    <row r="967" spans="1:5" x14ac:dyDescent="0.2">
      <c r="A967" t="s">
        <v>1675</v>
      </c>
      <c r="B967" t="s">
        <v>664</v>
      </c>
      <c r="C967" t="s">
        <v>191</v>
      </c>
      <c r="D967" t="s">
        <v>12</v>
      </c>
      <c r="E967" s="3" t="str">
        <f>HYPERLINK("http://www.otzar.org/book.asp?607838","ליקוט בענין הכתיבה לרבי")</f>
        <v>ליקוט בענין הכתיבה לרבי</v>
      </c>
    </row>
    <row r="968" spans="1:5" x14ac:dyDescent="0.2">
      <c r="A968" t="s">
        <v>1676</v>
      </c>
      <c r="B968" t="s">
        <v>1677</v>
      </c>
      <c r="C968" t="s">
        <v>34</v>
      </c>
      <c r="D968" t="s">
        <v>8</v>
      </c>
      <c r="E968" s="3" t="str">
        <f>HYPERLINK("http://www.otzar.org/book.asp?181516","ליקוט ומנהגי ראש חודש")</f>
        <v>ליקוט ומנהגי ראש חודש</v>
      </c>
    </row>
    <row r="969" spans="1:5" x14ac:dyDescent="0.2">
      <c r="A969" t="s">
        <v>1678</v>
      </c>
      <c r="B969" t="s">
        <v>30</v>
      </c>
      <c r="C969" t="s">
        <v>76</v>
      </c>
      <c r="D969" t="s">
        <v>8</v>
      </c>
      <c r="E969" s="3" t="str">
        <f>HYPERLINK("http://www.otzar.org/book.asp?146265","ליקוט טעמים ומקורות לסליחות")</f>
        <v>ליקוט טעמים ומקורות לסליחות</v>
      </c>
    </row>
    <row r="970" spans="1:5" x14ac:dyDescent="0.2">
      <c r="A970" t="s">
        <v>1679</v>
      </c>
      <c r="B970" t="s">
        <v>30</v>
      </c>
      <c r="C970" t="s">
        <v>126</v>
      </c>
      <c r="D970" t="s">
        <v>8</v>
      </c>
      <c r="E970" s="3" t="str">
        <f>HYPERLINK("http://www.otzar.org/book.asp?146415","ליקוט כאן צוה ה' את הברכה")</f>
        <v>ליקוט כאן צוה ה' את הברכה</v>
      </c>
    </row>
    <row r="971" spans="1:5" x14ac:dyDescent="0.2">
      <c r="A971" t="s">
        <v>1680</v>
      </c>
      <c r="B971" t="s">
        <v>30</v>
      </c>
      <c r="C971" t="s">
        <v>142</v>
      </c>
      <c r="D971" t="s">
        <v>8</v>
      </c>
      <c r="E971" s="3" t="str">
        <f>HYPERLINK("http://www.otzar.org/book.asp?621992","ליקוט כתבי יד קודש - 5 כר'")</f>
        <v>ליקוט כתבי יד קודש - 5 כר'</v>
      </c>
    </row>
    <row r="972" spans="1:5" x14ac:dyDescent="0.2">
      <c r="A972" t="s">
        <v>1681</v>
      </c>
      <c r="B972" t="s">
        <v>62</v>
      </c>
      <c r="C972" t="s">
        <v>201</v>
      </c>
      <c r="D972" t="s">
        <v>12</v>
      </c>
      <c r="E972" s="3" t="str">
        <f>HYPERLINK("http://www.otzar.org/book.asp?141259","ליקוט מחידושי הצמח צדק על הש""ס - קידושין")</f>
        <v>ליקוט מחידושי הצמח צדק על הש"ס - קידושין</v>
      </c>
    </row>
    <row r="973" spans="1:5" x14ac:dyDescent="0.2">
      <c r="A973" t="s">
        <v>1682</v>
      </c>
      <c r="B973" t="s">
        <v>1683</v>
      </c>
      <c r="C973" t="s">
        <v>7</v>
      </c>
      <c r="D973" t="s">
        <v>1684</v>
      </c>
      <c r="E973" s="3" t="str">
        <f>HYPERLINK("http://www.otzar.org/book.asp?629551","ליקוט מנהגי הרביים - ליל הסדר")</f>
        <v>ליקוט מנהגי הרביים - ליל הסדר</v>
      </c>
    </row>
    <row r="974" spans="1:5" x14ac:dyDescent="0.2">
      <c r="A974" t="s">
        <v>1685</v>
      </c>
      <c r="B974" t="s">
        <v>30</v>
      </c>
      <c r="C974" t="s">
        <v>7</v>
      </c>
      <c r="D974" t="s">
        <v>8</v>
      </c>
      <c r="E974" s="3" t="str">
        <f>HYPERLINK("http://www.otzar.org/book.asp?630318","ליקוט מענות קודש - 4 כר'")</f>
        <v>ליקוט מענות קודש - 4 כר'</v>
      </c>
    </row>
    <row r="975" spans="1:5" x14ac:dyDescent="0.2">
      <c r="A975" t="s">
        <v>1686</v>
      </c>
      <c r="B975" t="s">
        <v>207</v>
      </c>
      <c r="C975" t="s">
        <v>65</v>
      </c>
      <c r="D975" t="s">
        <v>12</v>
      </c>
      <c r="E975" s="3" t="str">
        <f>HYPERLINK("http://www.otzar.org/book.asp?146543","ליקוט מפירש""י עה""ת")</f>
        <v>ליקוט מפירש"י עה"ת</v>
      </c>
    </row>
    <row r="976" spans="1:5" x14ac:dyDescent="0.2">
      <c r="A976" t="s">
        <v>1687</v>
      </c>
      <c r="B976" t="s">
        <v>1688</v>
      </c>
      <c r="C976" t="s">
        <v>31</v>
      </c>
      <c r="D976" t="s">
        <v>8</v>
      </c>
      <c r="E976" s="3" t="str">
        <f>HYPERLINK("http://www.otzar.org/book.asp?146559","ליקוט מקורות בענין גאולה ומשיח - ב-ד")</f>
        <v>ליקוט מקורות בענין גאולה ומשיח - ב-ד</v>
      </c>
    </row>
    <row r="977" spans="1:5" x14ac:dyDescent="0.2">
      <c r="A977" t="s">
        <v>1689</v>
      </c>
      <c r="B977" t="s">
        <v>1690</v>
      </c>
      <c r="C977" t="s">
        <v>111</v>
      </c>
      <c r="D977" t="s">
        <v>40</v>
      </c>
      <c r="E977" s="3" t="str">
        <f>HYPERLINK("http://www.otzar.org/book.asp?146544","ליקוט מראי מקומות אודות לימוד פנימיות התורה")</f>
        <v>ליקוט מראי מקומות אודות לימוד פנימיות התורה</v>
      </c>
    </row>
    <row r="978" spans="1:5" x14ac:dyDescent="0.2">
      <c r="A978" t="s">
        <v>1691</v>
      </c>
      <c r="B978" t="s">
        <v>1692</v>
      </c>
      <c r="C978" t="s">
        <v>155</v>
      </c>
      <c r="D978" t="s">
        <v>1693</v>
      </c>
      <c r="E978" s="3" t="str">
        <f>HYPERLINK("http://www.otzar.org/book.asp?145645","ליקוט מראי מקומות לקונטרס ר""ח כסלו")</f>
        <v>ליקוט מראי מקומות לקונטרס ר"ח כסלו</v>
      </c>
    </row>
    <row r="979" spans="1:5" x14ac:dyDescent="0.2">
      <c r="A979" t="s">
        <v>1694</v>
      </c>
      <c r="B979" t="s">
        <v>1692</v>
      </c>
      <c r="C979" t="s">
        <v>155</v>
      </c>
      <c r="D979" t="s">
        <v>8</v>
      </c>
      <c r="E979" s="3" t="str">
        <f>HYPERLINK("http://www.otzar.org/book.asp?145484","ליקוט מראי מקומות שצויינו בליקוטי שיחות")</f>
        <v>ליקוט מראי מקומות שצויינו בליקוטי שיחות</v>
      </c>
    </row>
    <row r="980" spans="1:5" x14ac:dyDescent="0.2">
      <c r="A980" t="s">
        <v>1695</v>
      </c>
      <c r="B980" t="s">
        <v>30</v>
      </c>
      <c r="C980" t="s">
        <v>86</v>
      </c>
      <c r="D980" t="s">
        <v>12</v>
      </c>
      <c r="E980" s="3" t="str">
        <f>HYPERLINK("http://www.otzar.org/book.asp?146281","ליקוט משיחות קודש - גודל שמחת בית השואבה ברשות הרבים")</f>
        <v>ליקוט משיחות קודש - גודל שמחת בית השואבה ברשות הרבים</v>
      </c>
    </row>
    <row r="981" spans="1:5" x14ac:dyDescent="0.2">
      <c r="A981" t="s">
        <v>1696</v>
      </c>
      <c r="B981" t="s">
        <v>30</v>
      </c>
      <c r="C981" t="s">
        <v>31</v>
      </c>
      <c r="D981" t="s">
        <v>8</v>
      </c>
      <c r="E981" s="3" t="str">
        <f>HYPERLINK("http://www.otzar.org/book.asp?142659","ליקוט ניגונים - 2 כר'")</f>
        <v>ליקוט ניגונים - 2 כר'</v>
      </c>
    </row>
    <row r="982" spans="1:5" x14ac:dyDescent="0.2">
      <c r="A982" t="s">
        <v>1697</v>
      </c>
      <c r="B982" t="s">
        <v>1442</v>
      </c>
      <c r="C982" t="s">
        <v>1698</v>
      </c>
      <c r="D982" t="s">
        <v>8</v>
      </c>
      <c r="E982" s="3" t="str">
        <f>HYPERLINK("http://www.otzar.org/book.asp?630057","ליקוט פירושים")</f>
        <v>ליקוט פירושים</v>
      </c>
    </row>
    <row r="983" spans="1:5" x14ac:dyDescent="0.2">
      <c r="A983" t="s">
        <v>1699</v>
      </c>
      <c r="B983" t="s">
        <v>30</v>
      </c>
      <c r="C983" t="s">
        <v>60</v>
      </c>
      <c r="D983" t="s">
        <v>8</v>
      </c>
      <c r="E983" s="3" t="str">
        <f>HYPERLINK("http://www.otzar.org/book.asp?146518","ליקוט שיחות ומכתבים")</f>
        <v>ליקוט שיחות ומכתבים</v>
      </c>
    </row>
    <row r="984" spans="1:5" x14ac:dyDescent="0.2">
      <c r="A984" t="s">
        <v>1700</v>
      </c>
      <c r="B984" t="s">
        <v>1701</v>
      </c>
      <c r="C984" t="s">
        <v>52</v>
      </c>
      <c r="D984" t="s">
        <v>12</v>
      </c>
      <c r="E984" s="3" t="str">
        <f>HYPERLINK("http://www.otzar.org/book.asp?146266","ליקוטי אור")</f>
        <v>ליקוטי אור</v>
      </c>
    </row>
    <row r="985" spans="1:5" x14ac:dyDescent="0.2">
      <c r="A985" t="s">
        <v>1702</v>
      </c>
      <c r="B985" t="s">
        <v>1703</v>
      </c>
      <c r="C985" t="s">
        <v>67</v>
      </c>
      <c r="D985" t="s">
        <v>8</v>
      </c>
      <c r="E985" s="3" t="str">
        <f>HYPERLINK("http://www.otzar.org/book.asp?53161","ליקוטי אורות - 2 כר'")</f>
        <v>ליקוטי אורות - 2 כר'</v>
      </c>
    </row>
    <row r="986" spans="1:5" x14ac:dyDescent="0.2">
      <c r="A986" t="s">
        <v>1704</v>
      </c>
      <c r="B986" t="s">
        <v>24</v>
      </c>
      <c r="C986" t="s">
        <v>191</v>
      </c>
      <c r="D986" t="s">
        <v>332</v>
      </c>
      <c r="E986" s="3" t="str">
        <f>HYPERLINK("http://www.otzar.org/book.asp?153364","ליקוטי אמרים  תניא עם ביאור רחב - אגרת התשובה")</f>
        <v>ליקוטי אמרים  תניא עם ביאור רחב - אגרת התשובה</v>
      </c>
    </row>
    <row r="987" spans="1:5" x14ac:dyDescent="0.2">
      <c r="A987" t="s">
        <v>1705</v>
      </c>
      <c r="B987" t="s">
        <v>24</v>
      </c>
      <c r="C987" t="s">
        <v>1706</v>
      </c>
      <c r="D987" t="s">
        <v>1707</v>
      </c>
      <c r="E987" s="3" t="str">
        <f>HYPERLINK("http://www.otzar.org/book.asp?104234","ליקוטי אמרים &lt;תניא&gt; - 2 כר'")</f>
        <v>ליקוטי אמרים &lt;תניא&gt; - 2 כר'</v>
      </c>
    </row>
    <row r="988" spans="1:5" x14ac:dyDescent="0.2">
      <c r="A988" t="s">
        <v>1708</v>
      </c>
      <c r="B988" t="s">
        <v>24</v>
      </c>
      <c r="C988" t="s">
        <v>52</v>
      </c>
      <c r="D988" t="s">
        <v>8</v>
      </c>
      <c r="E988" s="3" t="str">
        <f>HYPERLINK("http://www.otzar.org/book.asp?26891","ליקוטי אמרים תניא &lt;בצירוף מ""מ ליקוטי פירושים וש""נ&gt; - 6 כר'")</f>
        <v>ליקוטי אמרים תניא &lt;בצירוף מ"מ ליקוטי פירושים וש"נ&gt; - 6 כר'</v>
      </c>
    </row>
    <row r="989" spans="1:5" x14ac:dyDescent="0.2">
      <c r="A989" t="s">
        <v>1709</v>
      </c>
      <c r="B989" t="s">
        <v>24</v>
      </c>
      <c r="C989" t="s">
        <v>39</v>
      </c>
      <c r="D989" t="s">
        <v>40</v>
      </c>
      <c r="E989" s="3" t="str">
        <f>HYPERLINK("http://www.otzar.org/book.asp?141722","ליקוטי אמרים תניא &lt;טקסט&gt;")</f>
        <v>ליקוטי אמרים תניא &lt;טקסט&gt;</v>
      </c>
    </row>
    <row r="990" spans="1:5" x14ac:dyDescent="0.2">
      <c r="A990" t="s">
        <v>1710</v>
      </c>
      <c r="B990" t="s">
        <v>24</v>
      </c>
      <c r="C990" t="s">
        <v>653</v>
      </c>
      <c r="D990" t="s">
        <v>8</v>
      </c>
      <c r="E990" s="3" t="str">
        <f>HYPERLINK("http://www.otzar.org/book.asp?142725","ליקוטי אמרים תניא (בתרגום אידיש)")</f>
        <v>ליקוטי אמרים תניא (בתרגום אידיש)</v>
      </c>
    </row>
    <row r="991" spans="1:5" x14ac:dyDescent="0.2">
      <c r="A991" t="s">
        <v>1711</v>
      </c>
      <c r="B991" t="s">
        <v>24</v>
      </c>
      <c r="C991" t="s">
        <v>111</v>
      </c>
      <c r="D991" t="s">
        <v>816</v>
      </c>
      <c r="E991" s="3" t="str">
        <f>HYPERLINK("http://www.otzar.org/book.asp?27180","ליקוטי אמרים תניא (בתרגום אנגלית)")</f>
        <v>ליקוטי אמרים תניא (בתרגום אנגלית)</v>
      </c>
    </row>
    <row r="992" spans="1:5" x14ac:dyDescent="0.2">
      <c r="A992" t="s">
        <v>1712</v>
      </c>
      <c r="B992" t="s">
        <v>24</v>
      </c>
      <c r="C992" t="s">
        <v>148</v>
      </c>
      <c r="D992" t="s">
        <v>95</v>
      </c>
      <c r="E992" s="3" t="str">
        <f>HYPERLINK("http://www.otzar.org/book.asp?142646","ליקוטי אמרים תניא (בתרגום גרמנית) - 2 כר'")</f>
        <v>ליקוטי אמרים תניא (בתרגום גרמנית) - 2 כר'</v>
      </c>
    </row>
    <row r="993" spans="1:5" x14ac:dyDescent="0.2">
      <c r="A993" t="s">
        <v>1713</v>
      </c>
      <c r="B993" t="s">
        <v>24</v>
      </c>
      <c r="C993" t="s">
        <v>191</v>
      </c>
      <c r="D993" t="s">
        <v>1714</v>
      </c>
      <c r="E993" s="3" t="str">
        <f>HYPERLINK("http://www.otzar.org/book.asp?160414","ליקוטי אמרים תניא (בתרגום ספרדית) - ד")</f>
        <v>ליקוטי אמרים תניא (בתרגום ספרדית) - ד</v>
      </c>
    </row>
    <row r="994" spans="1:5" x14ac:dyDescent="0.2">
      <c r="A994" t="s">
        <v>1715</v>
      </c>
      <c r="B994" t="s">
        <v>24</v>
      </c>
      <c r="C994" t="s">
        <v>88</v>
      </c>
      <c r="D994" t="s">
        <v>8</v>
      </c>
      <c r="E994" s="3" t="str">
        <f>HYPERLINK("http://www.otzar.org/book.asp?146368","ליקוטי אמרים תניא (בתרגום ערבית)")</f>
        <v>ליקוטי אמרים תניא (בתרגום ערבית)</v>
      </c>
    </row>
    <row r="995" spans="1:5" x14ac:dyDescent="0.2">
      <c r="A995" t="s">
        <v>1716</v>
      </c>
      <c r="B995" t="s">
        <v>24</v>
      </c>
      <c r="C995" t="s">
        <v>39</v>
      </c>
      <c r="D995" t="s">
        <v>8</v>
      </c>
      <c r="E995" s="3" t="str">
        <f>HYPERLINK("http://www.otzar.org/book.asp?142649","ליקוטי אמרים תניא (בתרגום צרפתית)")</f>
        <v>ליקוטי אמרים תניא (בתרגום צרפתית)</v>
      </c>
    </row>
    <row r="996" spans="1:5" x14ac:dyDescent="0.2">
      <c r="A996" t="s">
        <v>1717</v>
      </c>
      <c r="B996" t="s">
        <v>1718</v>
      </c>
      <c r="C996" t="s">
        <v>165</v>
      </c>
      <c r="D996" t="s">
        <v>8</v>
      </c>
      <c r="E996" s="3" t="str">
        <f>HYPERLINK("http://www.otzar.org/book.asp?28837","ליקוטי אמרים תניא ע""פ חסידות מבוארת - 2 כר'")</f>
        <v>ליקוטי אמרים תניא ע"פ חסידות מבוארת - 2 כר'</v>
      </c>
    </row>
    <row r="997" spans="1:5" x14ac:dyDescent="0.2">
      <c r="A997" t="s">
        <v>1719</v>
      </c>
      <c r="B997" t="s">
        <v>1720</v>
      </c>
      <c r="C997" t="s">
        <v>52</v>
      </c>
      <c r="D997" t="s">
        <v>8</v>
      </c>
      <c r="E997" s="3" t="str">
        <f>HYPERLINK("http://www.otzar.org/book.asp?141431","ליקוטי אמרים תניא עם ביאור השווה לכל נפש - 6 כר'")</f>
        <v>ליקוטי אמרים תניא עם ביאור השווה לכל נפש - 6 כר'</v>
      </c>
    </row>
    <row r="998" spans="1:5" x14ac:dyDescent="0.2">
      <c r="A998" t="s">
        <v>1721</v>
      </c>
      <c r="B998" t="s">
        <v>1722</v>
      </c>
      <c r="C998" t="s">
        <v>165</v>
      </c>
      <c r="D998" t="s">
        <v>19</v>
      </c>
      <c r="E998" s="3" t="str">
        <f>HYPERLINK("http://www.otzar.org/book.asp?146289","ליקוטי אמרים תניא עם ביאור ר' יואל קאהן - א")</f>
        <v>ליקוטי אמרים תניא עם ביאור ר' יואל קאהן - א</v>
      </c>
    </row>
    <row r="999" spans="1:5" x14ac:dyDescent="0.2">
      <c r="A999" t="s">
        <v>1723</v>
      </c>
      <c r="B999" t="s">
        <v>1724</v>
      </c>
      <c r="C999" t="s">
        <v>44</v>
      </c>
      <c r="D999" t="s">
        <v>40</v>
      </c>
      <c r="E999" s="3" t="str">
        <f>HYPERLINK("http://www.otzar.org/book.asp?173833","ליקוטי אמרים תניא עם ביאורים ופנינים - 2 כר'")</f>
        <v>ליקוטי אמרים תניא עם ביאורים ופנינים - 2 כר'</v>
      </c>
    </row>
    <row r="1000" spans="1:5" x14ac:dyDescent="0.2">
      <c r="A1000" t="s">
        <v>1725</v>
      </c>
      <c r="B1000" t="s">
        <v>1726</v>
      </c>
      <c r="C1000" t="s">
        <v>488</v>
      </c>
      <c r="D1000" t="s">
        <v>19</v>
      </c>
      <c r="E1000" s="3" t="str">
        <f>HYPERLINK("http://www.otzar.org/book.asp?173838","ליקוטי אמרים תניא עם ליקוטי ציטוטים")</f>
        <v>ליקוטי אמרים תניא עם ליקוטי ציטוטים</v>
      </c>
    </row>
    <row r="1001" spans="1:5" x14ac:dyDescent="0.2">
      <c r="A1001" t="s">
        <v>1727</v>
      </c>
      <c r="B1001" t="s">
        <v>1728</v>
      </c>
      <c r="C1001" t="s">
        <v>15</v>
      </c>
      <c r="D1001" t="s">
        <v>8</v>
      </c>
      <c r="E1001" s="3" t="str">
        <f>HYPERLINK("http://www.otzar.org/book.asp?607630","ליקוטי אמרים תניא עם לקוט פירושים - 2 כר'")</f>
        <v>ליקוטי אמרים תניא עם לקוט פירושים - 2 כר'</v>
      </c>
    </row>
    <row r="1002" spans="1:5" x14ac:dyDescent="0.2">
      <c r="A1002" t="s">
        <v>1729</v>
      </c>
      <c r="B1002" t="s">
        <v>1718</v>
      </c>
      <c r="C1002" t="s">
        <v>191</v>
      </c>
      <c r="D1002" t="s">
        <v>8</v>
      </c>
      <c r="E1002" s="3" t="str">
        <f>HYPERLINK("http://www.otzar.org/book.asp?147681","ליקוטי אמרים תניא עם פירוש חסידות מבוארת - 5 כר'")</f>
        <v>ליקוטי אמרים תניא עם פירוש חסידות מבוארת - 5 כר'</v>
      </c>
    </row>
    <row r="1003" spans="1:5" x14ac:dyDescent="0.2">
      <c r="A1003" t="s">
        <v>1730</v>
      </c>
      <c r="B1003" t="s">
        <v>24</v>
      </c>
      <c r="C1003" t="s">
        <v>142</v>
      </c>
      <c r="D1003" t="s">
        <v>8</v>
      </c>
      <c r="E1003" s="3" t="str">
        <f>HYPERLINK("http://www.otzar.org/book.asp?616805","ליקוטי אמרים תניא - מהדורא קמא")</f>
        <v>ליקוטי אמרים תניא - מהדורא קמא</v>
      </c>
    </row>
    <row r="1004" spans="1:5" x14ac:dyDescent="0.2">
      <c r="A1004" t="s">
        <v>1731</v>
      </c>
      <c r="B1004" t="s">
        <v>24</v>
      </c>
      <c r="C1004" t="s">
        <v>60</v>
      </c>
      <c r="D1004" t="s">
        <v>8</v>
      </c>
      <c r="E1004" s="3" t="str">
        <f>HYPERLINK("http://www.otzar.org/book.asp?27160","ליקוטי אמרים - 3 כר'")</f>
        <v>ליקוטי אמרים - 3 כר'</v>
      </c>
    </row>
    <row r="1005" spans="1:5" x14ac:dyDescent="0.2">
      <c r="A1005" t="s">
        <v>1732</v>
      </c>
      <c r="B1005" t="s">
        <v>1733</v>
      </c>
      <c r="C1005" t="s">
        <v>928</v>
      </c>
      <c r="D1005" t="s">
        <v>1734</v>
      </c>
      <c r="E1005" s="3" t="str">
        <f>HYPERLINK("http://www.otzar.org/book.asp?23738","ליקוטי ביאורים בספר התניא - 4 כר'")</f>
        <v>ליקוטי ביאורים בספר התניא - 4 כר'</v>
      </c>
    </row>
    <row r="1006" spans="1:5" x14ac:dyDescent="0.2">
      <c r="A1006" t="s">
        <v>1735</v>
      </c>
      <c r="B1006" t="s">
        <v>1736</v>
      </c>
      <c r="C1006" t="s">
        <v>305</v>
      </c>
      <c r="D1006" t="s">
        <v>8</v>
      </c>
      <c r="E1006" s="3" t="str">
        <f>HYPERLINK("http://www.otzar.org/book.asp?141538","ליקוטי ביאורים בספר התניא - מילואים לחלק ראשון")</f>
        <v>ליקוטי ביאורים בספר התניא - מילואים לחלק ראשון</v>
      </c>
    </row>
    <row r="1007" spans="1:5" x14ac:dyDescent="0.2">
      <c r="A1007" t="s">
        <v>1737</v>
      </c>
      <c r="B1007" t="s">
        <v>1738</v>
      </c>
      <c r="C1007" t="s">
        <v>126</v>
      </c>
      <c r="D1007" t="s">
        <v>166</v>
      </c>
      <c r="E1007" s="3" t="str">
        <f>HYPERLINK("http://www.otzar.org/book.asp?145952","ליקוטי ביאורים לי""ב הפסוקים ומרז""ל")</f>
        <v>ליקוטי ביאורים לי"ב הפסוקים ומרז"ל</v>
      </c>
    </row>
    <row r="1008" spans="1:5" x14ac:dyDescent="0.2">
      <c r="A1008" t="s">
        <v>1739</v>
      </c>
      <c r="B1008" t="s">
        <v>43</v>
      </c>
      <c r="C1008" t="s">
        <v>1740</v>
      </c>
      <c r="D1008" t="s">
        <v>1058</v>
      </c>
      <c r="E1008" s="3" t="str">
        <f>HYPERLINK("http://www.otzar.org/book.asp?17000","ליקוטי ביאורים")</f>
        <v>ליקוטי ביאורים</v>
      </c>
    </row>
    <row r="1009" spans="1:5" x14ac:dyDescent="0.2">
      <c r="A1009" t="s">
        <v>1741</v>
      </c>
      <c r="B1009" t="s">
        <v>545</v>
      </c>
      <c r="C1009" t="s">
        <v>771</v>
      </c>
      <c r="D1009" t="s">
        <v>1058</v>
      </c>
      <c r="E1009" s="3" t="str">
        <f>HYPERLINK("http://www.otzar.org/book.asp?19150","ליקוטי בעש""ט")</f>
        <v>ליקוטי בעש"ט</v>
      </c>
    </row>
    <row r="1010" spans="1:5" x14ac:dyDescent="0.2">
      <c r="A1010" t="s">
        <v>1742</v>
      </c>
      <c r="B1010" t="s">
        <v>38</v>
      </c>
      <c r="C1010" t="s">
        <v>327</v>
      </c>
      <c r="D1010" t="s">
        <v>8</v>
      </c>
      <c r="E1010" s="3" t="str">
        <f>HYPERLINK("http://www.otzar.org/book.asp?26453","ליקוטי דיבורים - 2 כר'")</f>
        <v>ליקוטי דיבורים - 2 כר'</v>
      </c>
    </row>
    <row r="1011" spans="1:5" x14ac:dyDescent="0.2">
      <c r="A1011" t="s">
        <v>1743</v>
      </c>
      <c r="B1011" t="s">
        <v>1744</v>
      </c>
      <c r="C1011" t="s">
        <v>161</v>
      </c>
      <c r="D1011" t="s">
        <v>12</v>
      </c>
      <c r="E1011" s="3" t="str">
        <f>HYPERLINK("http://www.otzar.org/book.asp?26455","ליקוטי דיבורים - 3 כר'")</f>
        <v>ליקוטי דיבורים - 3 כר'</v>
      </c>
    </row>
    <row r="1012" spans="1:5" x14ac:dyDescent="0.2">
      <c r="A1012" t="s">
        <v>1745</v>
      </c>
      <c r="B1012" t="s">
        <v>24</v>
      </c>
      <c r="C1012" t="s">
        <v>1019</v>
      </c>
      <c r="D1012" t="s">
        <v>8</v>
      </c>
      <c r="E1012" s="3" t="str">
        <f>HYPERLINK("http://www.otzar.org/book.asp?85324","ליקוטי הגהות לספר התניא")</f>
        <v>ליקוטי הגהות לספר התניא</v>
      </c>
    </row>
    <row r="1013" spans="1:5" x14ac:dyDescent="0.2">
      <c r="A1013" t="s">
        <v>1746</v>
      </c>
      <c r="B1013" t="s">
        <v>30</v>
      </c>
      <c r="C1013" t="s">
        <v>31</v>
      </c>
      <c r="D1013" t="s">
        <v>8</v>
      </c>
      <c r="E1013" s="3" t="str">
        <f>HYPERLINK("http://www.otzar.org/book.asp?141344","ליקוטי הוראות מנהגים וביאורים בענייני שידוכים ונישואין")</f>
        <v>ליקוטי הוראות מנהגים וביאורים בענייני שידוכים ונישואין</v>
      </c>
    </row>
    <row r="1014" spans="1:5" x14ac:dyDescent="0.2">
      <c r="A1014" t="s">
        <v>1747</v>
      </c>
      <c r="B1014" t="s">
        <v>207</v>
      </c>
      <c r="C1014" t="s">
        <v>305</v>
      </c>
      <c r="D1014" t="s">
        <v>166</v>
      </c>
      <c r="E1014" s="3" t="str">
        <f>HYPERLINK("http://www.otzar.org/book.asp?145163","ליקוטי הנהגות והלכות בחינוך על טהרת הקדש")</f>
        <v>ליקוטי הנהגות והלכות בחינוך על טהרת הקדש</v>
      </c>
    </row>
    <row r="1015" spans="1:5" x14ac:dyDescent="0.2">
      <c r="A1015" t="s">
        <v>1748</v>
      </c>
      <c r="B1015" t="s">
        <v>1442</v>
      </c>
      <c r="C1015" t="s">
        <v>327</v>
      </c>
      <c r="D1015" t="s">
        <v>8</v>
      </c>
      <c r="E1015" s="3" t="str">
        <f>HYPERLINK("http://www.otzar.org/book.asp?26684","ליקוטי לוי יצחק - 4 כר'")</f>
        <v>ליקוטי לוי יצחק - 4 כר'</v>
      </c>
    </row>
    <row r="1016" spans="1:5" x14ac:dyDescent="0.2">
      <c r="A1016" t="s">
        <v>1749</v>
      </c>
      <c r="B1016" t="s">
        <v>1750</v>
      </c>
      <c r="C1016" t="s">
        <v>67</v>
      </c>
      <c r="D1016" t="s">
        <v>40</v>
      </c>
      <c r="E1016" s="3" t="str">
        <f>HYPERLINK("http://www.otzar.org/book.asp?27040","ליקוטי ספורים")</f>
        <v>ליקוטי ספורים</v>
      </c>
    </row>
    <row r="1017" spans="1:5" x14ac:dyDescent="0.2">
      <c r="A1017" t="s">
        <v>1751</v>
      </c>
      <c r="B1017" t="s">
        <v>30</v>
      </c>
      <c r="C1017" t="s">
        <v>31</v>
      </c>
      <c r="D1017" t="s">
        <v>8</v>
      </c>
      <c r="E1017" s="3" t="str">
        <f>HYPERLINK("http://www.otzar.org/book.asp?147719","ליקוטי ערכים בש""ס וברמב""ם")</f>
        <v>ליקוטי ערכים בש"ס וברמב"ם</v>
      </c>
    </row>
    <row r="1018" spans="1:5" x14ac:dyDescent="0.2">
      <c r="A1018" t="s">
        <v>1752</v>
      </c>
      <c r="B1018" t="s">
        <v>1753</v>
      </c>
      <c r="C1018" t="s">
        <v>1671</v>
      </c>
      <c r="D1018" t="s">
        <v>12</v>
      </c>
      <c r="E1018" s="3" t="str">
        <f>HYPERLINK("http://www.otzar.org/book.asp?140873","ליקוטי רשימות ומעשיות")</f>
        <v>ליקוטי רשימות ומעשיות</v>
      </c>
    </row>
    <row r="1019" spans="1:5" x14ac:dyDescent="0.2">
      <c r="A1019" t="s">
        <v>1752</v>
      </c>
      <c r="B1019" t="s">
        <v>145</v>
      </c>
      <c r="C1019" t="s">
        <v>142</v>
      </c>
      <c r="D1019" t="s">
        <v>12</v>
      </c>
      <c r="E1019" s="3" t="str">
        <f>HYPERLINK("http://www.otzar.org/book.asp?618919","ליקוטי רשימות ומעשיות")</f>
        <v>ליקוטי רשימות ומעשיות</v>
      </c>
    </row>
    <row r="1020" spans="1:5" x14ac:dyDescent="0.2">
      <c r="A1020" t="s">
        <v>1754</v>
      </c>
      <c r="B1020" t="s">
        <v>30</v>
      </c>
      <c r="C1020" t="s">
        <v>31</v>
      </c>
      <c r="D1020" t="s">
        <v>8</v>
      </c>
      <c r="E1020" s="3" t="str">
        <f>HYPERLINK("http://www.otzar.org/book.asp?143240","ליקוטי שיחות &lt;מועדים&gt; - 6 כר'")</f>
        <v>ליקוטי שיחות &lt;מועדים&gt; - 6 כר'</v>
      </c>
    </row>
    <row r="1021" spans="1:5" x14ac:dyDescent="0.2">
      <c r="A1021" t="s">
        <v>1755</v>
      </c>
      <c r="B1021" t="s">
        <v>30</v>
      </c>
      <c r="C1021" t="s">
        <v>1756</v>
      </c>
      <c r="D1021" t="s">
        <v>12</v>
      </c>
      <c r="E1021" s="3" t="str">
        <f>HYPERLINK("http://www.otzar.org/book.asp?165828","ליקוטי שיחות &lt;רעיונות לפרשת השבוע&gt; - 2 כר'")</f>
        <v>ליקוטי שיחות &lt;רעיונות לפרשת השבוע&gt; - 2 כר'</v>
      </c>
    </row>
    <row r="1022" spans="1:5" x14ac:dyDescent="0.2">
      <c r="A1022" t="s">
        <v>1757</v>
      </c>
      <c r="B1022" t="s">
        <v>30</v>
      </c>
      <c r="C1022" t="s">
        <v>165</v>
      </c>
      <c r="D1022" t="s">
        <v>8</v>
      </c>
      <c r="E1022" s="3" t="str">
        <f>HYPERLINK("http://www.otzar.org/book.asp?141285","ליקוטי שיחות &lt;תרגום חפשי&gt; - 22 כר'")</f>
        <v>ליקוטי שיחות &lt;תרגום חפשי&gt; - 22 כר'</v>
      </c>
    </row>
    <row r="1023" spans="1:5" x14ac:dyDescent="0.2">
      <c r="A1023" t="s">
        <v>1758</v>
      </c>
      <c r="B1023" t="s">
        <v>30</v>
      </c>
      <c r="C1023" t="s">
        <v>327</v>
      </c>
      <c r="D1023" t="s">
        <v>8</v>
      </c>
      <c r="E1023" s="3" t="str">
        <f>HYPERLINK("http://www.otzar.org/book.asp?26193","ליקוטי שיחות - 43 כר'")</f>
        <v>ליקוטי שיחות - 43 כר'</v>
      </c>
    </row>
    <row r="1024" spans="1:5" x14ac:dyDescent="0.2">
      <c r="A1024" t="s">
        <v>1759</v>
      </c>
      <c r="B1024" t="s">
        <v>24</v>
      </c>
      <c r="C1024" t="s">
        <v>73</v>
      </c>
      <c r="D1024" t="s">
        <v>8</v>
      </c>
      <c r="E1024" s="3" t="str">
        <f>HYPERLINK("http://www.otzar.org/book.asp?181120","ליקוטי שיר השירים")</f>
        <v>ליקוטי שיר השירים</v>
      </c>
    </row>
    <row r="1025" spans="1:5" x14ac:dyDescent="0.2">
      <c r="A1025" t="s">
        <v>1760</v>
      </c>
      <c r="B1025" t="s">
        <v>1761</v>
      </c>
      <c r="C1025" t="s">
        <v>1762</v>
      </c>
      <c r="D1025" t="s">
        <v>1763</v>
      </c>
      <c r="E1025" s="3" t="str">
        <f>HYPERLINK("http://www.otzar.org/book.asp?28732","ליקוטי תורה לג' פרשיות")</f>
        <v>ליקוטי תורה לג' פרשיות</v>
      </c>
    </row>
    <row r="1026" spans="1:5" x14ac:dyDescent="0.2">
      <c r="A1026" t="s">
        <v>1764</v>
      </c>
      <c r="B1026" t="s">
        <v>24</v>
      </c>
      <c r="C1026" t="s">
        <v>1762</v>
      </c>
      <c r="D1026" t="s">
        <v>312</v>
      </c>
      <c r="E1026" s="3" t="str">
        <f>HYPERLINK("http://www.otzar.org/book.asp?104397","ליקוטי תורה מספר בראשית")</f>
        <v>ליקוטי תורה מספר בראשית</v>
      </c>
    </row>
    <row r="1027" spans="1:5" x14ac:dyDescent="0.2">
      <c r="A1027" t="s">
        <v>1765</v>
      </c>
      <c r="B1027" t="s">
        <v>66</v>
      </c>
      <c r="C1027" t="s">
        <v>155</v>
      </c>
      <c r="D1027" t="s">
        <v>8</v>
      </c>
      <c r="E1027" s="3" t="str">
        <f>HYPERLINK("http://www.otzar.org/book.asp?27142","ליקוטי תורה תורת שמואל - 26 כר'")</f>
        <v>ליקוטי תורה תורת שמואל - 26 כר'</v>
      </c>
    </row>
    <row r="1028" spans="1:5" x14ac:dyDescent="0.2">
      <c r="A1028" t="s">
        <v>1766</v>
      </c>
      <c r="B1028" t="s">
        <v>24</v>
      </c>
      <c r="C1028" t="s">
        <v>67</v>
      </c>
      <c r="D1028" t="s">
        <v>8</v>
      </c>
      <c r="E1028" s="3" t="str">
        <f>HYPERLINK("http://www.otzar.org/book.asp?26914","ליקוטי תורה")</f>
        <v>ליקוטי תורה</v>
      </c>
    </row>
    <row r="1029" spans="1:5" x14ac:dyDescent="0.2">
      <c r="A1029" t="s">
        <v>1767</v>
      </c>
      <c r="B1029" t="s">
        <v>1768</v>
      </c>
      <c r="C1029" t="s">
        <v>1769</v>
      </c>
      <c r="D1029" t="s">
        <v>26</v>
      </c>
      <c r="E1029" s="3" t="str">
        <f>HYPERLINK("http://www.otzar.org/book.asp?23748","ליקוטים באורים")</f>
        <v>ליקוטים באורים</v>
      </c>
    </row>
    <row r="1030" spans="1:5" x14ac:dyDescent="0.2">
      <c r="A1030" t="s">
        <v>1770</v>
      </c>
      <c r="B1030" t="s">
        <v>220</v>
      </c>
      <c r="C1030" t="s">
        <v>58</v>
      </c>
      <c r="D1030" t="s">
        <v>40</v>
      </c>
      <c r="E1030" s="3" t="str">
        <f>HYPERLINK("http://www.otzar.org/book.asp?141401","ליקוטים יקרים")</f>
        <v>ליקוטים יקרים</v>
      </c>
    </row>
    <row r="1031" spans="1:5" x14ac:dyDescent="0.2">
      <c r="A1031" t="s">
        <v>1771</v>
      </c>
      <c r="B1031" t="s">
        <v>1772</v>
      </c>
      <c r="C1031" t="s">
        <v>88</v>
      </c>
      <c r="D1031" t="s">
        <v>8</v>
      </c>
      <c r="E1031" s="3" t="str">
        <f>HYPERLINK("http://www.otzar.org/book.asp?145633","ליקוטים להמראי מקומות לליקוטי שיחות - 10 כר'")</f>
        <v>ליקוטים להמראי מקומות לליקוטי שיחות - 10 כר'</v>
      </c>
    </row>
    <row r="1032" spans="1:5" x14ac:dyDescent="0.2">
      <c r="A1032" t="s">
        <v>1773</v>
      </c>
      <c r="B1032" t="s">
        <v>1774</v>
      </c>
      <c r="C1032" t="s">
        <v>165</v>
      </c>
      <c r="D1032" t="s">
        <v>162</v>
      </c>
      <c r="E1032" s="3" t="str">
        <f>HYPERLINK("http://www.otzar.org/book.asp?609789","לכבוד התורה")</f>
        <v>לכבוד התורה</v>
      </c>
    </row>
    <row r="1033" spans="1:5" x14ac:dyDescent="0.2">
      <c r="A1033" t="s">
        <v>1775</v>
      </c>
      <c r="B1033" t="s">
        <v>1776</v>
      </c>
      <c r="C1033" t="s">
        <v>152</v>
      </c>
      <c r="D1033" t="s">
        <v>116</v>
      </c>
      <c r="E1033" s="3" t="str">
        <f>HYPERLINK("http://www.otzar.org/book.asp?27353","לכבודו של מלך - 9 כר'")</f>
        <v>לכבודו של מלך - 9 כר'</v>
      </c>
    </row>
    <row r="1034" spans="1:5" x14ac:dyDescent="0.2">
      <c r="A1034" t="s">
        <v>1777</v>
      </c>
      <c r="B1034" t="s">
        <v>108</v>
      </c>
      <c r="C1034" t="s">
        <v>31</v>
      </c>
      <c r="D1034" t="s">
        <v>1778</v>
      </c>
      <c r="E1034" s="3" t="str">
        <f>HYPERLINK("http://www.otzar.org/book.asp?27272","לכבודו של צדיק")</f>
        <v>לכבודו של צדיק</v>
      </c>
    </row>
    <row r="1035" spans="1:5" x14ac:dyDescent="0.2">
      <c r="A1035" t="s">
        <v>1779</v>
      </c>
      <c r="B1035" t="s">
        <v>1780</v>
      </c>
      <c r="C1035" t="s">
        <v>44</v>
      </c>
      <c r="D1035" t="s">
        <v>8</v>
      </c>
      <c r="E1035" s="3" t="str">
        <f>HYPERLINK("http://www.otzar.org/book.asp?175528","לכה דודי")</f>
        <v>לכה דודי</v>
      </c>
    </row>
    <row r="1036" spans="1:5" x14ac:dyDescent="0.2">
      <c r="A1036" t="s">
        <v>1781</v>
      </c>
      <c r="B1036" t="s">
        <v>1782</v>
      </c>
      <c r="C1036" t="s">
        <v>18</v>
      </c>
      <c r="D1036" t="s">
        <v>12</v>
      </c>
      <c r="E1036" s="3" t="str">
        <f>HYPERLINK("http://www.otzar.org/book.asp?27119","לכתחילה אריבער")</f>
        <v>לכתחילה אריבער</v>
      </c>
    </row>
    <row r="1037" spans="1:5" x14ac:dyDescent="0.2">
      <c r="A1037" t="s">
        <v>1783</v>
      </c>
      <c r="B1037" t="s">
        <v>1086</v>
      </c>
      <c r="C1037" t="s">
        <v>350</v>
      </c>
      <c r="D1037" t="s">
        <v>240</v>
      </c>
      <c r="E1037" s="3" t="str">
        <f>HYPERLINK("http://www.otzar.org/book.asp?613858","ללא מורא - 2 כר'")</f>
        <v>ללא מורא - 2 כר'</v>
      </c>
    </row>
    <row r="1038" spans="1:5" x14ac:dyDescent="0.2">
      <c r="A1038" t="s">
        <v>1784</v>
      </c>
      <c r="B1038" t="s">
        <v>244</v>
      </c>
      <c r="C1038" t="s">
        <v>191</v>
      </c>
      <c r="D1038" t="s">
        <v>8</v>
      </c>
      <c r="E1038" s="3" t="str">
        <f>HYPERLINK("http://www.otzar.org/book.asp?148717","ללמוד איך להתפלל - 5 כר'")</f>
        <v>ללמוד איך להתפלל - 5 כר'</v>
      </c>
    </row>
    <row r="1039" spans="1:5" x14ac:dyDescent="0.2">
      <c r="A1039" t="s">
        <v>1785</v>
      </c>
      <c r="B1039" t="s">
        <v>244</v>
      </c>
      <c r="C1039" t="s">
        <v>142</v>
      </c>
      <c r="D1039" t="s">
        <v>12</v>
      </c>
      <c r="E1039" s="3" t="str">
        <f>HYPERLINK("http://www.otzar.org/book.asp?618897","ללמוד את המועדים")</f>
        <v>ללמוד את המועדים</v>
      </c>
    </row>
    <row r="1040" spans="1:5" x14ac:dyDescent="0.2">
      <c r="A1040" t="s">
        <v>1786</v>
      </c>
      <c r="B1040" t="s">
        <v>1787</v>
      </c>
      <c r="C1040" t="s">
        <v>44</v>
      </c>
      <c r="D1040" t="s">
        <v>12</v>
      </c>
      <c r="E1040" s="3" t="str">
        <f>HYPERLINK("http://www.otzar.org/book.asp?173576","ללמוד וללמד")</f>
        <v>ללמוד וללמד</v>
      </c>
    </row>
    <row r="1041" spans="1:5" x14ac:dyDescent="0.2">
      <c r="A1041" t="s">
        <v>1788</v>
      </c>
      <c r="B1041" t="s">
        <v>733</v>
      </c>
      <c r="C1041" t="s">
        <v>82</v>
      </c>
      <c r="D1041" t="s">
        <v>571</v>
      </c>
      <c r="E1041" s="3" t="str">
        <f>HYPERLINK("http://www.otzar.org/book.asp?607703","ללמוד תניא - פרקים א-נג")</f>
        <v>ללמוד תניא - פרקים א-נג</v>
      </c>
    </row>
    <row r="1042" spans="1:5" x14ac:dyDescent="0.2">
      <c r="A1042" t="s">
        <v>1789</v>
      </c>
      <c r="B1042" t="s">
        <v>1790</v>
      </c>
      <c r="C1042" t="s">
        <v>213</v>
      </c>
      <c r="D1042" t="s">
        <v>12</v>
      </c>
      <c r="E1042" s="3" t="str">
        <f>HYPERLINK("http://www.otzar.org/book.asp?27857","למען ידעו... בנים יולדו")</f>
        <v>למען ידעו... בנים יולדו</v>
      </c>
    </row>
    <row r="1043" spans="1:5" x14ac:dyDescent="0.2">
      <c r="A1043" t="s">
        <v>1791</v>
      </c>
      <c r="B1043" t="s">
        <v>1792</v>
      </c>
      <c r="C1043" t="s">
        <v>111</v>
      </c>
      <c r="D1043" t="s">
        <v>12</v>
      </c>
      <c r="E1043" s="3" t="str">
        <f>HYPERLINK("http://www.otzar.org/book.asp?27125","למען תצליח")</f>
        <v>למען תצליח</v>
      </c>
    </row>
    <row r="1044" spans="1:5" x14ac:dyDescent="0.2">
      <c r="A1044" t="s">
        <v>1793</v>
      </c>
      <c r="B1044" t="s">
        <v>336</v>
      </c>
      <c r="C1044" t="s">
        <v>183</v>
      </c>
      <c r="D1044" t="s">
        <v>12</v>
      </c>
      <c r="E1044" s="3" t="str">
        <f>HYPERLINK("http://www.otzar.org/book.asp?27770","לספר מבראשית - 2 כר'")</f>
        <v>לספר מבראשית - 2 כר'</v>
      </c>
    </row>
    <row r="1045" spans="1:5" x14ac:dyDescent="0.2">
      <c r="A1045" t="s">
        <v>1794</v>
      </c>
      <c r="B1045" t="s">
        <v>30</v>
      </c>
      <c r="C1045" t="s">
        <v>34</v>
      </c>
      <c r="D1045" t="s">
        <v>19</v>
      </c>
      <c r="E1045" s="3" t="str">
        <f>HYPERLINK("http://www.otzar.org/book.asp?157278","לעורר את האהבה")</f>
        <v>לעורר את האהבה</v>
      </c>
    </row>
    <row r="1046" spans="1:5" x14ac:dyDescent="0.2">
      <c r="A1046" t="s">
        <v>1795</v>
      </c>
      <c r="B1046" t="s">
        <v>30</v>
      </c>
      <c r="C1046" t="s">
        <v>18</v>
      </c>
      <c r="D1046" t="s">
        <v>8</v>
      </c>
      <c r="E1046" s="3" t="str">
        <f>HYPERLINK("http://www.otzar.org/book.asp?622203","לפני המלך")</f>
        <v>לפני המלך</v>
      </c>
    </row>
    <row r="1047" spans="1:5" x14ac:dyDescent="0.2">
      <c r="A1047" t="s">
        <v>1796</v>
      </c>
      <c r="B1047" t="s">
        <v>1797</v>
      </c>
      <c r="C1047" t="s">
        <v>52</v>
      </c>
      <c r="D1047" t="s">
        <v>315</v>
      </c>
      <c r="E1047" s="3" t="str">
        <f>HYPERLINK("http://www.otzar.org/book.asp?26887","לפני מי אתה עומד")</f>
        <v>לפני מי אתה עומד</v>
      </c>
    </row>
    <row r="1048" spans="1:5" x14ac:dyDescent="0.2">
      <c r="A1048" t="s">
        <v>1798</v>
      </c>
      <c r="B1048" t="s">
        <v>1799</v>
      </c>
      <c r="C1048" t="s">
        <v>1800</v>
      </c>
      <c r="D1048" t="s">
        <v>8</v>
      </c>
      <c r="E1048" s="3" t="str">
        <f>HYPERLINK("http://www.otzar.org/book.asp?27113","לפנים משורת הדין")</f>
        <v>לפנים משורת הדין</v>
      </c>
    </row>
    <row r="1049" spans="1:5" x14ac:dyDescent="0.2">
      <c r="A1049" t="s">
        <v>1801</v>
      </c>
      <c r="B1049" t="s">
        <v>30</v>
      </c>
      <c r="C1049" t="s">
        <v>31</v>
      </c>
      <c r="D1049" t="s">
        <v>19</v>
      </c>
      <c r="E1049" s="3" t="str">
        <f>HYPERLINK("http://www.otzar.org/book.asp?146003","לפקוח את העינים")</f>
        <v>לפקוח את העינים</v>
      </c>
    </row>
    <row r="1050" spans="1:5" x14ac:dyDescent="0.2">
      <c r="A1050" t="s">
        <v>1802</v>
      </c>
      <c r="B1050" t="s">
        <v>1803</v>
      </c>
      <c r="C1050" t="s">
        <v>31</v>
      </c>
      <c r="D1050" t="s">
        <v>8</v>
      </c>
      <c r="E1050" s="3" t="str">
        <f>HYPERLINK("http://www.otzar.org/book.asp?146530","לקבל פני משיח צדקנו בפועל ממש")</f>
        <v>לקבל פני משיח צדקנו בפועל ממש</v>
      </c>
    </row>
    <row r="1051" spans="1:5" x14ac:dyDescent="0.2">
      <c r="A1051" t="s">
        <v>1804</v>
      </c>
      <c r="B1051" t="s">
        <v>30</v>
      </c>
      <c r="C1051" t="s">
        <v>82</v>
      </c>
      <c r="D1051" t="s">
        <v>208</v>
      </c>
      <c r="E1051" s="3" t="str">
        <f>HYPERLINK("http://www.otzar.org/book.asp?606927","לקוטי שיחות מבואר - א (בשלח י' שבט)")</f>
        <v>לקוטי שיחות מבואר - א (בשלח י' שבט)</v>
      </c>
    </row>
    <row r="1052" spans="1:5" x14ac:dyDescent="0.2">
      <c r="A1052" t="s">
        <v>1805</v>
      </c>
      <c r="B1052" t="s">
        <v>1806</v>
      </c>
      <c r="C1052" t="s">
        <v>350</v>
      </c>
      <c r="D1052" t="s">
        <v>19</v>
      </c>
      <c r="E1052" s="3" t="str">
        <f>HYPERLINK("http://www.otzar.org/book.asp?611983","לקוטי תורה המבואר - ד""ה אחרי ה' אלקיכם תלכו (פ' ראה)")</f>
        <v>לקוטי תורה המבואר - ד"ה אחרי ה' אלקיכם תלכו (פ' ראה)</v>
      </c>
    </row>
    <row r="1053" spans="1:5" x14ac:dyDescent="0.2">
      <c r="A1053" t="s">
        <v>1807</v>
      </c>
      <c r="C1053" t="s">
        <v>82</v>
      </c>
      <c r="D1053" t="s">
        <v>208</v>
      </c>
      <c r="E1053" s="3" t="str">
        <f>HYPERLINK("http://www.otzar.org/book.asp?606930","לקוטי תורה ותורה אור המבואר - קעא")</f>
        <v>לקוטי תורה ותורה אור המבואר - קעא</v>
      </c>
    </row>
    <row r="1054" spans="1:5" x14ac:dyDescent="0.2">
      <c r="A1054" t="s">
        <v>1808</v>
      </c>
      <c r="B1054" t="s">
        <v>1809</v>
      </c>
      <c r="C1054" t="s">
        <v>82</v>
      </c>
      <c r="D1054" t="s">
        <v>208</v>
      </c>
      <c r="E1054" s="3" t="str">
        <f>HYPERLINK("http://www.otzar.org/book.asp?606920","לקוטי תורה ותורה אור המבואר - 12 כר'")</f>
        <v>לקוטי תורה ותורה אור המבואר - 12 כר'</v>
      </c>
    </row>
    <row r="1055" spans="1:5" x14ac:dyDescent="0.2">
      <c r="A1055" t="s">
        <v>1810</v>
      </c>
      <c r="B1055" t="s">
        <v>1811</v>
      </c>
      <c r="C1055" t="s">
        <v>58</v>
      </c>
      <c r="D1055" t="s">
        <v>12</v>
      </c>
      <c r="E1055" s="3" t="str">
        <f>HYPERLINK("http://www.otzar.org/book.asp?146390","לקט אמרים ופתגמי קדש בגודל מעלת לימוד שעורי חת""ת")</f>
        <v>לקט אמרים ופתגמי קדש בגודל מעלת לימוד שעורי חת"ת</v>
      </c>
    </row>
    <row r="1056" spans="1:5" x14ac:dyDescent="0.2">
      <c r="A1056" t="s">
        <v>1812</v>
      </c>
      <c r="B1056" t="s">
        <v>30</v>
      </c>
      <c r="C1056" t="s">
        <v>183</v>
      </c>
      <c r="D1056" t="s">
        <v>8</v>
      </c>
      <c r="E1056" s="3" t="str">
        <f>HYPERLINK("http://www.otzar.org/book.asp?140933","לקט הוראות בטחון ארץ הקדש")</f>
        <v>לקט הוראות בטחון ארץ הקדש</v>
      </c>
    </row>
    <row r="1057" spans="1:5" x14ac:dyDescent="0.2">
      <c r="A1057" t="s">
        <v>1813</v>
      </c>
      <c r="B1057" t="s">
        <v>1814</v>
      </c>
      <c r="C1057" t="s">
        <v>129</v>
      </c>
      <c r="D1057" t="s">
        <v>8</v>
      </c>
      <c r="E1057" s="3" t="str">
        <f>HYPERLINK("http://www.otzar.org/book.asp?141417","לקט הליכות ומנהגי שבת קודש - 3 כר'")</f>
        <v>לקט הליכות ומנהגי שבת קודש - 3 כר'</v>
      </c>
    </row>
    <row r="1058" spans="1:5" x14ac:dyDescent="0.2">
      <c r="A1058" t="s">
        <v>1815</v>
      </c>
      <c r="B1058" t="s">
        <v>1816</v>
      </c>
      <c r="C1058" t="s">
        <v>52</v>
      </c>
      <c r="D1058" t="s">
        <v>19</v>
      </c>
      <c r="E1058" s="3" t="str">
        <f>HYPERLINK("http://www.otzar.org/book.asp?161347","לקט הלכות ומנהגים לחג הפסח")</f>
        <v>לקט הלכות ומנהגים לחג הפסח</v>
      </c>
    </row>
    <row r="1059" spans="1:5" x14ac:dyDescent="0.2">
      <c r="A1059" t="s">
        <v>1817</v>
      </c>
      <c r="B1059" t="s">
        <v>1818</v>
      </c>
      <c r="C1059" t="s">
        <v>191</v>
      </c>
      <c r="D1059" t="s">
        <v>249</v>
      </c>
      <c r="E1059" s="3" t="str">
        <f>HYPERLINK("http://www.otzar.org/book.asp?150678","לקט הלכות לתלמידים מתוך קיצור שלחן ערוך")</f>
        <v>לקט הלכות לתלמידים מתוך קיצור שלחן ערוך</v>
      </c>
    </row>
    <row r="1060" spans="1:5" x14ac:dyDescent="0.2">
      <c r="A1060" t="s">
        <v>1819</v>
      </c>
      <c r="B1060" t="s">
        <v>295</v>
      </c>
      <c r="C1060" t="s">
        <v>82</v>
      </c>
      <c r="D1060" t="s">
        <v>80</v>
      </c>
      <c r="E1060" s="3" t="str">
        <f>HYPERLINK("http://www.otzar.org/book.asp?601605","לקט ופרט - 4 כר'")</f>
        <v>לקט ופרט - 4 כר'</v>
      </c>
    </row>
    <row r="1061" spans="1:5" x14ac:dyDescent="0.2">
      <c r="A1061" t="s">
        <v>1820</v>
      </c>
      <c r="B1061" t="s">
        <v>30</v>
      </c>
      <c r="C1061" t="s">
        <v>201</v>
      </c>
      <c r="D1061" t="s">
        <v>8</v>
      </c>
      <c r="E1061" s="3" t="str">
        <f>HYPERLINK("http://www.otzar.org/book.asp?146360","לקט חידושי תורה - 3 כר'")</f>
        <v>לקט חידושי תורה - 3 כר'</v>
      </c>
    </row>
    <row r="1062" spans="1:5" x14ac:dyDescent="0.2">
      <c r="A1062" t="s">
        <v>1821</v>
      </c>
      <c r="B1062" t="s">
        <v>30</v>
      </c>
      <c r="C1062" t="s">
        <v>276</v>
      </c>
      <c r="D1062" t="s">
        <v>8</v>
      </c>
      <c r="E1062" s="3" t="str">
        <f>HYPERLINK("http://www.otzar.org/book.asp?26470","לקט חידושים וביאורים במסכת בבא בתרא")</f>
        <v>לקט חידושים וביאורים במסכת בבא בתרא</v>
      </c>
    </row>
    <row r="1063" spans="1:5" x14ac:dyDescent="0.2">
      <c r="A1063" t="s">
        <v>1822</v>
      </c>
      <c r="B1063" t="s">
        <v>1823</v>
      </c>
      <c r="C1063" t="s">
        <v>1247</v>
      </c>
      <c r="D1063" t="s">
        <v>8</v>
      </c>
      <c r="E1063" s="3" t="str">
        <f>HYPERLINK("http://www.otzar.org/book.asp?140936","לקט ליום ההילולא י' שבט")</f>
        <v>לקט ליום ההילולא י' שבט</v>
      </c>
    </row>
    <row r="1064" spans="1:5" x14ac:dyDescent="0.2">
      <c r="A1064" t="s">
        <v>1824</v>
      </c>
      <c r="B1064" t="s">
        <v>1825</v>
      </c>
      <c r="C1064" t="s">
        <v>58</v>
      </c>
      <c r="D1064" t="s">
        <v>12</v>
      </c>
      <c r="E1064" s="3" t="str">
        <f>HYPERLINK("http://www.otzar.org/book.asp?614939","לקט מאמרים על האשה בישראל")</f>
        <v>לקט מאמרים על האשה בישראל</v>
      </c>
    </row>
    <row r="1065" spans="1:5" x14ac:dyDescent="0.2">
      <c r="A1065" t="s">
        <v>1826</v>
      </c>
      <c r="B1065" t="s">
        <v>1827</v>
      </c>
      <c r="C1065" t="s">
        <v>129</v>
      </c>
      <c r="D1065" t="s">
        <v>101</v>
      </c>
      <c r="E1065" s="3" t="str">
        <f>HYPERLINK("http://www.otzar.org/book.asp?85377","לקט מביאורי רבותינו נשיאינו - קידושין")</f>
        <v>לקט מביאורי רבותינו נשיאינו - קידושין</v>
      </c>
    </row>
    <row r="1066" spans="1:5" x14ac:dyDescent="0.2">
      <c r="A1066" t="s">
        <v>1828</v>
      </c>
      <c r="B1066" t="s">
        <v>33</v>
      </c>
      <c r="C1066" t="s">
        <v>11</v>
      </c>
      <c r="D1066" t="s">
        <v>12</v>
      </c>
      <c r="E1066" s="3" t="str">
        <f>HYPERLINK("http://www.otzar.org/book.asp?163162","לקט מכתבי קודש")</f>
        <v>לקט מכתבי קודש</v>
      </c>
    </row>
    <row r="1067" spans="1:5" x14ac:dyDescent="0.2">
      <c r="A1067" t="s">
        <v>1829</v>
      </c>
      <c r="B1067" t="s">
        <v>1830</v>
      </c>
      <c r="C1067" t="s">
        <v>350</v>
      </c>
      <c r="D1067" t="s">
        <v>19</v>
      </c>
      <c r="E1067" s="3" t="str">
        <f>HYPERLINK("http://www.otzar.org/book.asp?607831","לקט מענות קודש")</f>
        <v>לקט מענות קודש</v>
      </c>
    </row>
    <row r="1068" spans="1:5" x14ac:dyDescent="0.2">
      <c r="A1068" t="s">
        <v>1831</v>
      </c>
      <c r="B1068" t="s">
        <v>1832</v>
      </c>
      <c r="C1068" t="s">
        <v>276</v>
      </c>
      <c r="D1068" t="s">
        <v>8</v>
      </c>
      <c r="E1068" s="3" t="str">
        <f>HYPERLINK("http://www.otzar.org/book.asp?146333","לקט מתורת רבותינו נשיאינו - תשנ""ט")</f>
        <v>לקט מתורת רבותינו נשיאינו - תשנ"ט</v>
      </c>
    </row>
    <row r="1069" spans="1:5" x14ac:dyDescent="0.2">
      <c r="A1069" t="s">
        <v>1833</v>
      </c>
      <c r="B1069" t="s">
        <v>207</v>
      </c>
      <c r="C1069" t="s">
        <v>129</v>
      </c>
      <c r="D1069" t="s">
        <v>8</v>
      </c>
      <c r="E1069" s="3" t="str">
        <f>HYPERLINK("http://www.otzar.org/book.asp?146393","לקט מתורת רבותינו נשיאינו - 2 כר'")</f>
        <v>לקט מתורת רבותינו נשיאינו - 2 כר'</v>
      </c>
    </row>
    <row r="1070" spans="1:5" x14ac:dyDescent="0.2">
      <c r="A1070" t="s">
        <v>1834</v>
      </c>
      <c r="B1070" t="s">
        <v>1835</v>
      </c>
      <c r="C1070" t="s">
        <v>22</v>
      </c>
      <c r="D1070" t="s">
        <v>8</v>
      </c>
      <c r="E1070" s="3" t="str">
        <f>HYPERLINK("http://www.otzar.org/book.asp?146320","לקט מתורת רבותינו נשיאנו - תשנ""א")</f>
        <v>לקט מתורת רבותינו נשיאנו - תשנ"א</v>
      </c>
    </row>
    <row r="1071" spans="1:5" x14ac:dyDescent="0.2">
      <c r="A1071" t="s">
        <v>1836</v>
      </c>
      <c r="B1071" t="s">
        <v>1837</v>
      </c>
      <c r="C1071" t="s">
        <v>477</v>
      </c>
      <c r="D1071" t="s">
        <v>12</v>
      </c>
      <c r="E1071" s="3" t="str">
        <f>HYPERLINK("http://www.otzar.org/book.asp?27833","לקט סיפורים על הרבי מליובאויטש - 7 כר'")</f>
        <v>לקט סיפורים על הרבי מליובאויטש - 7 כר'</v>
      </c>
    </row>
    <row r="1072" spans="1:5" x14ac:dyDescent="0.2">
      <c r="A1072" t="s">
        <v>1838</v>
      </c>
      <c r="B1072" t="s">
        <v>1838</v>
      </c>
      <c r="C1072" t="s">
        <v>52</v>
      </c>
      <c r="D1072" t="s">
        <v>8</v>
      </c>
      <c r="E1072" s="3" t="str">
        <f>HYPERLINK("http://www.otzar.org/book.asp?140925","לקט ספורים")</f>
        <v>לקט ספורים</v>
      </c>
    </row>
    <row r="1073" spans="1:5" x14ac:dyDescent="0.2">
      <c r="A1073" t="s">
        <v>1839</v>
      </c>
      <c r="B1073" t="s">
        <v>1840</v>
      </c>
      <c r="C1073" t="s">
        <v>34</v>
      </c>
      <c r="D1073" t="s">
        <v>249</v>
      </c>
      <c r="E1073" s="3" t="str">
        <f>HYPERLINK("http://www.otzar.org/book.asp?167749","לקט עיונים ובירורי הלכה")</f>
        <v>לקט עיונים ובירורי הלכה</v>
      </c>
    </row>
    <row r="1074" spans="1:5" x14ac:dyDescent="0.2">
      <c r="A1074" t="s">
        <v>1841</v>
      </c>
      <c r="B1074" t="s">
        <v>1842</v>
      </c>
      <c r="C1074" t="s">
        <v>76</v>
      </c>
      <c r="D1074" t="s">
        <v>162</v>
      </c>
      <c r="E1074" s="3" t="str">
        <f>HYPERLINK("http://www.otzar.org/book.asp?607779","לקט פירושים על תפילת שמונה עשרה")</f>
        <v>לקט פירושים על תפילת שמונה עשרה</v>
      </c>
    </row>
    <row r="1075" spans="1:5" x14ac:dyDescent="0.2">
      <c r="A1075" t="s">
        <v>1843</v>
      </c>
      <c r="B1075" t="s">
        <v>1844</v>
      </c>
      <c r="C1075" t="s">
        <v>60</v>
      </c>
      <c r="D1075" t="s">
        <v>8</v>
      </c>
      <c r="E1075" s="3" t="str">
        <f>HYPERLINK("http://www.otzar.org/book.asp?141399","לקט ציונים והערות לש""ע אדמו""ר הזקן - 4 כר'")</f>
        <v>לקט ציונים והערות לש"ע אדמו"ר הזקן - 4 כר'</v>
      </c>
    </row>
    <row r="1076" spans="1:5" x14ac:dyDescent="0.2">
      <c r="A1076" t="s">
        <v>1845</v>
      </c>
      <c r="B1076" t="s">
        <v>1846</v>
      </c>
      <c r="C1076" t="s">
        <v>39</v>
      </c>
      <c r="D1076" t="s">
        <v>12</v>
      </c>
      <c r="E1076" s="3" t="str">
        <f>HYPERLINK("http://www.otzar.org/book.asp?146229","לקראת שבת - 6 כר'")</f>
        <v>לקראת שבת - 6 כר'</v>
      </c>
    </row>
    <row r="1077" spans="1:5" x14ac:dyDescent="0.2">
      <c r="A1077" t="s">
        <v>1847</v>
      </c>
      <c r="B1077" t="s">
        <v>1848</v>
      </c>
      <c r="C1077" t="s">
        <v>34</v>
      </c>
      <c r="D1077" t="s">
        <v>12</v>
      </c>
      <c r="E1077" s="3" t="str">
        <f>HYPERLINK("http://www.otzar.org/book.asp?153366","לקרב הניצוץ אל המאור")</f>
        <v>לקרב הניצוץ אל המאור</v>
      </c>
    </row>
    <row r="1078" spans="1:5" x14ac:dyDescent="0.2">
      <c r="A1078" t="s">
        <v>1849</v>
      </c>
      <c r="B1078" t="s">
        <v>336</v>
      </c>
      <c r="C1078" t="s">
        <v>191</v>
      </c>
      <c r="D1078" t="s">
        <v>116</v>
      </c>
      <c r="E1078" s="3" t="str">
        <f>HYPERLINK("http://www.otzar.org/book.asp?609790","לשם ולתפארת")</f>
        <v>לשם ולתפארת</v>
      </c>
    </row>
    <row r="1079" spans="1:5" x14ac:dyDescent="0.2">
      <c r="A1079" t="s">
        <v>1850</v>
      </c>
      <c r="B1079" t="s">
        <v>1268</v>
      </c>
      <c r="C1079" t="s">
        <v>288</v>
      </c>
      <c r="D1079" t="s">
        <v>139</v>
      </c>
      <c r="E1079" s="3" t="str">
        <f>HYPERLINK("http://www.otzar.org/book.asp?631189","לשם מה חייבים רבי - ואתה תצוה בעיון")</f>
        <v>לשם מה חייבים רבי - ואתה תצוה בעיון</v>
      </c>
    </row>
    <row r="1080" spans="1:5" x14ac:dyDescent="0.2">
      <c r="A1080" t="s">
        <v>1851</v>
      </c>
      <c r="B1080" t="s">
        <v>108</v>
      </c>
      <c r="C1080" t="s">
        <v>327</v>
      </c>
      <c r="D1080" t="s">
        <v>8</v>
      </c>
      <c r="E1080" s="3" t="str">
        <f>HYPERLINK("http://www.otzar.org/book.asp?141335","לשמוע בקול דברו")</f>
        <v>לשמוע בקול דברו</v>
      </c>
    </row>
    <row r="1081" spans="1:5" x14ac:dyDescent="0.2">
      <c r="A1081" t="s">
        <v>1852</v>
      </c>
      <c r="B1081" t="s">
        <v>97</v>
      </c>
      <c r="C1081" t="s">
        <v>82</v>
      </c>
      <c r="D1081" t="s">
        <v>12</v>
      </c>
      <c r="E1081" s="3" t="str">
        <f>HYPERLINK("http://www.otzar.org/book.asp?607936","לשמך תן כבוד")</f>
        <v>לשמך תן כבוד</v>
      </c>
    </row>
    <row r="1082" spans="1:5" x14ac:dyDescent="0.2">
      <c r="A1082" t="s">
        <v>1853</v>
      </c>
      <c r="B1082" t="s">
        <v>1854</v>
      </c>
      <c r="C1082" t="s">
        <v>161</v>
      </c>
      <c r="D1082" t="s">
        <v>8</v>
      </c>
      <c r="E1082" s="3" t="str">
        <f>HYPERLINK("http://www.otzar.org/book.asp?28702","לשמע אזן")</f>
        <v>לשמע אזן</v>
      </c>
    </row>
    <row r="1083" spans="1:5" x14ac:dyDescent="0.2">
      <c r="A1083" t="s">
        <v>1855</v>
      </c>
      <c r="B1083" t="s">
        <v>1856</v>
      </c>
      <c r="C1083" t="s">
        <v>82</v>
      </c>
      <c r="D1083" t="s">
        <v>8</v>
      </c>
      <c r="E1083" s="3" t="str">
        <f>HYPERLINK("http://www.otzar.org/book.asp?607994","מ'פארט צום רבי'ן")</f>
        <v>מ'פארט צום רבי'ן</v>
      </c>
    </row>
    <row r="1084" spans="1:5" x14ac:dyDescent="0.2">
      <c r="A1084" t="s">
        <v>1857</v>
      </c>
      <c r="B1084" t="s">
        <v>1858</v>
      </c>
      <c r="C1084" t="s">
        <v>350</v>
      </c>
      <c r="D1084" t="s">
        <v>1859</v>
      </c>
      <c r="E1084" s="3" t="str">
        <f>HYPERLINK("http://www.otzar.org/book.asp?601634","מאגר ערכים בספרות חב""ד - 2 כר'")</f>
        <v>מאגר ערכים בספרות חב"ד - 2 כר'</v>
      </c>
    </row>
    <row r="1085" spans="1:5" x14ac:dyDescent="0.2">
      <c r="A1085" t="s">
        <v>1860</v>
      </c>
      <c r="B1085" t="s">
        <v>1861</v>
      </c>
      <c r="C1085" t="s">
        <v>488</v>
      </c>
      <c r="D1085" t="s">
        <v>12</v>
      </c>
      <c r="E1085" s="3" t="str">
        <f>HYPERLINK("http://www.otzar.org/book.asp?27839","מאה ואחד סיפורים ראשונים לילד החסידי - 5 כר'")</f>
        <v>מאה ואחד סיפורים ראשונים לילד החסידי - 5 כר'</v>
      </c>
    </row>
    <row r="1086" spans="1:5" x14ac:dyDescent="0.2">
      <c r="A1086" t="s">
        <v>1862</v>
      </c>
      <c r="B1086" t="s">
        <v>108</v>
      </c>
      <c r="C1086" t="s">
        <v>183</v>
      </c>
      <c r="D1086" t="s">
        <v>12</v>
      </c>
      <c r="E1086" s="3" t="str">
        <f>HYPERLINK("http://www.otzar.org/book.asp?140950","מאה שנה להולדת הרבי - 2 כר'")</f>
        <v>מאה שנה להולדת הרבי - 2 כר'</v>
      </c>
    </row>
    <row r="1087" spans="1:5" x14ac:dyDescent="0.2">
      <c r="A1087" t="s">
        <v>1863</v>
      </c>
      <c r="B1087" t="s">
        <v>1864</v>
      </c>
      <c r="C1087" t="s">
        <v>54</v>
      </c>
      <c r="D1087" t="s">
        <v>8</v>
      </c>
      <c r="E1087" s="3" t="str">
        <f>HYPERLINK("http://www.otzar.org/book.asp?607789","מאה שערים &lt;מהדורה חדשה&gt; - 2 כר'")</f>
        <v>מאה שערים &lt;מהדורה חדשה&gt; - 2 כר'</v>
      </c>
    </row>
    <row r="1088" spans="1:5" x14ac:dyDescent="0.2">
      <c r="A1088" t="s">
        <v>1865</v>
      </c>
      <c r="B1088" t="s">
        <v>1864</v>
      </c>
      <c r="C1088" t="s">
        <v>115</v>
      </c>
      <c r="D1088" t="s">
        <v>8</v>
      </c>
      <c r="E1088" s="3" t="str">
        <f>HYPERLINK("http://www.otzar.org/book.asp?28705","מאה שערים")</f>
        <v>מאה שערים</v>
      </c>
    </row>
    <row r="1089" spans="1:5" x14ac:dyDescent="0.2">
      <c r="A1089" t="s">
        <v>1865</v>
      </c>
      <c r="B1089" t="s">
        <v>1866</v>
      </c>
      <c r="C1089" t="s">
        <v>1867</v>
      </c>
      <c r="D1089" t="s">
        <v>1323</v>
      </c>
      <c r="E1089" s="3" t="str">
        <f>HYPERLINK("http://www.otzar.org/book.asp?11122","מאה שערים")</f>
        <v>מאה שערים</v>
      </c>
    </row>
    <row r="1090" spans="1:5" x14ac:dyDescent="0.2">
      <c r="A1090" t="s">
        <v>1868</v>
      </c>
      <c r="B1090" t="s">
        <v>1869</v>
      </c>
      <c r="C1090" t="s">
        <v>165</v>
      </c>
      <c r="D1090" t="s">
        <v>8</v>
      </c>
      <c r="E1090" s="3" t="str">
        <f>HYPERLINK("http://www.otzar.org/book.asp?28815","מאוצר המלך - 3 כר'")</f>
        <v>מאוצר המלך - 3 כר'</v>
      </c>
    </row>
    <row r="1091" spans="1:5" x14ac:dyDescent="0.2">
      <c r="A1091" t="s">
        <v>1870</v>
      </c>
      <c r="B1091" t="s">
        <v>108</v>
      </c>
      <c r="C1091" t="s">
        <v>60</v>
      </c>
      <c r="D1091" t="s">
        <v>272</v>
      </c>
      <c r="E1091" s="3" t="str">
        <f>HYPERLINK("http://www.otzar.org/book.asp?146042","מאור התורה - יתרו")</f>
        <v>מאור התורה - יתרו</v>
      </c>
    </row>
    <row r="1092" spans="1:5" x14ac:dyDescent="0.2">
      <c r="A1092" t="s">
        <v>1871</v>
      </c>
      <c r="B1092" t="s">
        <v>108</v>
      </c>
      <c r="C1092" t="s">
        <v>161</v>
      </c>
      <c r="D1092" t="s">
        <v>40</v>
      </c>
      <c r="E1092" s="3" t="str">
        <f>HYPERLINK("http://www.otzar.org/book.asp?27481","מאורה של תורה - 2 כר'")</f>
        <v>מאורה של תורה - 2 כר'</v>
      </c>
    </row>
    <row r="1093" spans="1:5" x14ac:dyDescent="0.2">
      <c r="A1093" t="s">
        <v>1872</v>
      </c>
      <c r="B1093" t="s">
        <v>1873</v>
      </c>
      <c r="C1093" t="s">
        <v>152</v>
      </c>
      <c r="D1093" t="s">
        <v>40</v>
      </c>
      <c r="E1093" s="3" t="str">
        <f>HYPERLINK("http://www.otzar.org/book.asp?179656","מאורי ישראל")</f>
        <v>מאורי ישראל</v>
      </c>
    </row>
    <row r="1094" spans="1:5" x14ac:dyDescent="0.2">
      <c r="A1094" t="s">
        <v>1874</v>
      </c>
      <c r="B1094" t="s">
        <v>1875</v>
      </c>
      <c r="C1094" t="s">
        <v>54</v>
      </c>
      <c r="D1094" t="s">
        <v>71</v>
      </c>
      <c r="E1094" s="3" t="str">
        <f>HYPERLINK("http://www.otzar.org/book.asp?616775","מאחורי הקלעים")</f>
        <v>מאחורי הקלעים</v>
      </c>
    </row>
    <row r="1095" spans="1:5" x14ac:dyDescent="0.2">
      <c r="A1095" t="s">
        <v>1876</v>
      </c>
      <c r="B1095" t="s">
        <v>1663</v>
      </c>
      <c r="C1095" t="s">
        <v>161</v>
      </c>
      <c r="D1095" t="s">
        <v>8</v>
      </c>
      <c r="E1095" s="3" t="str">
        <f>HYPERLINK("http://www.otzar.org/book.asp?146534","מאחורי מסך הברזל")</f>
        <v>מאחורי מסך הברזל</v>
      </c>
    </row>
    <row r="1096" spans="1:5" x14ac:dyDescent="0.2">
      <c r="A1096" t="s">
        <v>1876</v>
      </c>
      <c r="B1096" t="s">
        <v>562</v>
      </c>
      <c r="C1096" t="s">
        <v>11</v>
      </c>
      <c r="D1096" t="s">
        <v>12</v>
      </c>
      <c r="E1096" s="3" t="str">
        <f>HYPERLINK("http://www.otzar.org/book.asp?162890","מאחורי מסך הברזל")</f>
        <v>מאחורי מסך הברזל</v>
      </c>
    </row>
    <row r="1097" spans="1:5" x14ac:dyDescent="0.2">
      <c r="A1097" t="s">
        <v>1877</v>
      </c>
      <c r="B1097" t="s">
        <v>336</v>
      </c>
      <c r="C1097" t="s">
        <v>82</v>
      </c>
      <c r="D1097" t="s">
        <v>19</v>
      </c>
      <c r="E1097" s="3" t="str">
        <f>HYPERLINK("http://www.otzar.org/book.asp?196214","מאחורי קווי האויב")</f>
        <v>מאחורי קווי האויב</v>
      </c>
    </row>
    <row r="1098" spans="1:5" x14ac:dyDescent="0.2">
      <c r="A1098" t="s">
        <v>1878</v>
      </c>
      <c r="B1098" t="s">
        <v>30</v>
      </c>
      <c r="C1098" t="s">
        <v>34</v>
      </c>
      <c r="D1098" t="s">
        <v>12</v>
      </c>
      <c r="E1098" s="3" t="str">
        <f>HYPERLINK("http://www.otzar.org/book.asp?614908","מאי חנוכה - 3 כר'")</f>
        <v>מאי חנוכה - 3 כר'</v>
      </c>
    </row>
    <row r="1099" spans="1:5" x14ac:dyDescent="0.2">
      <c r="A1099" t="s">
        <v>1879</v>
      </c>
      <c r="B1099" t="s">
        <v>1321</v>
      </c>
      <c r="C1099" t="s">
        <v>1740</v>
      </c>
      <c r="D1099" t="s">
        <v>1058</v>
      </c>
      <c r="E1099" s="3" t="str">
        <f>HYPERLINK("http://www.otzar.org/book.asp?102295","מאמר השפלות והשמחה - 2 כר'")</f>
        <v>מאמר השפלות והשמחה - 2 כר'</v>
      </c>
    </row>
    <row r="1100" spans="1:5" x14ac:dyDescent="0.2">
      <c r="A1100" t="s">
        <v>1880</v>
      </c>
      <c r="B1100" t="s">
        <v>24</v>
      </c>
      <c r="C1100" t="s">
        <v>19</v>
      </c>
      <c r="D1100" t="s">
        <v>76</v>
      </c>
      <c r="E1100" s="3" t="str">
        <f>HYPERLINK("http://www.otzar.org/book.asp?606926","מאמר חסידות מבואר - בעצם היום הזה")</f>
        <v>מאמר חסידות מבואר - בעצם היום הזה</v>
      </c>
    </row>
    <row r="1101" spans="1:5" x14ac:dyDescent="0.2">
      <c r="A1101" t="s">
        <v>1881</v>
      </c>
      <c r="B1101" t="s">
        <v>1321</v>
      </c>
      <c r="C1101" t="s">
        <v>1882</v>
      </c>
      <c r="D1101" t="s">
        <v>312</v>
      </c>
      <c r="E1101" s="3" t="str">
        <f>HYPERLINK("http://www.otzar.org/book.asp?105867","מאמר יציאת מצרים")</f>
        <v>מאמר יציאת מצרים</v>
      </c>
    </row>
    <row r="1102" spans="1:5" x14ac:dyDescent="0.2">
      <c r="A1102" t="s">
        <v>1883</v>
      </c>
      <c r="B1102" t="s">
        <v>1884</v>
      </c>
      <c r="C1102" t="s">
        <v>39</v>
      </c>
      <c r="D1102" t="s">
        <v>8</v>
      </c>
      <c r="E1102" s="3" t="str">
        <f>HYPERLINK("http://www.otzar.org/book.asp?142332","מאמר לאדמו""ר הרש""ב זי""ע עם פירוש חסידות מבוארת")</f>
        <v>מאמר לאדמו"ר הרש"ב זי"ע עם פירוש חסידות מבוארת</v>
      </c>
    </row>
    <row r="1103" spans="1:5" x14ac:dyDescent="0.2">
      <c r="A1103" t="s">
        <v>1885</v>
      </c>
      <c r="B1103" t="s">
        <v>368</v>
      </c>
      <c r="C1103" t="s">
        <v>327</v>
      </c>
      <c r="D1103" t="s">
        <v>8</v>
      </c>
      <c r="E1103" s="3" t="str">
        <f>HYPERLINK("http://www.otzar.org/book.asp?608395","מאמר מבואר - 14 כר'")</f>
        <v>מאמר מבואר - 14 כר'</v>
      </c>
    </row>
    <row r="1104" spans="1:5" x14ac:dyDescent="0.2">
      <c r="A1104" t="s">
        <v>1886</v>
      </c>
      <c r="B1104" t="s">
        <v>1887</v>
      </c>
      <c r="C1104" t="s">
        <v>15</v>
      </c>
      <c r="D1104" t="s">
        <v>8</v>
      </c>
      <c r="E1104" s="3" t="str">
        <f>HYPERLINK("http://www.otzar.org/book.asp?192801","מאמר ערוך")</f>
        <v>מאמר ערוך</v>
      </c>
    </row>
    <row r="1105" spans="1:5" x14ac:dyDescent="0.2">
      <c r="A1105" t="s">
        <v>1888</v>
      </c>
      <c r="B1105" t="s">
        <v>1321</v>
      </c>
      <c r="C1105" t="s">
        <v>1889</v>
      </c>
      <c r="D1105" t="s">
        <v>1890</v>
      </c>
      <c r="E1105" s="3" t="str">
        <f>HYPERLINK("http://www.otzar.org/book.asp?27241","מאמר שני המאורות")</f>
        <v>מאמר שני המאורות</v>
      </c>
    </row>
    <row r="1106" spans="1:5" x14ac:dyDescent="0.2">
      <c r="A1106" t="s">
        <v>1891</v>
      </c>
      <c r="B1106" t="s">
        <v>564</v>
      </c>
      <c r="C1106" t="s">
        <v>39</v>
      </c>
      <c r="D1106" t="s">
        <v>8</v>
      </c>
      <c r="E1106" s="3" t="str">
        <f>HYPERLINK("http://www.otzar.org/book.asp?142658","מאמר - 4 כר'")</f>
        <v>מאמר - 4 כר'</v>
      </c>
    </row>
    <row r="1107" spans="1:5" x14ac:dyDescent="0.2">
      <c r="A1107" t="s">
        <v>1892</v>
      </c>
      <c r="B1107" t="s">
        <v>24</v>
      </c>
      <c r="C1107" t="s">
        <v>39</v>
      </c>
      <c r="D1107" t="s">
        <v>8</v>
      </c>
      <c r="E1107" s="3" t="str">
        <f>HYPERLINK("http://www.otzar.org/book.asp?146389","מאמר - 6 כר'")</f>
        <v>מאמר - 6 כר'</v>
      </c>
    </row>
    <row r="1108" spans="1:5" x14ac:dyDescent="0.2">
      <c r="A1108" t="s">
        <v>1893</v>
      </c>
      <c r="B1108" t="s">
        <v>43</v>
      </c>
      <c r="C1108" t="s">
        <v>201</v>
      </c>
      <c r="D1108" t="s">
        <v>8</v>
      </c>
      <c r="E1108" s="3" t="str">
        <f>HYPERLINK("http://www.otzar.org/book.asp?145796","מאמר - 7 כר'")</f>
        <v>מאמר - 7 כר'</v>
      </c>
    </row>
    <row r="1109" spans="1:5" x14ac:dyDescent="0.2">
      <c r="A1109" t="s">
        <v>1894</v>
      </c>
      <c r="B1109" t="s">
        <v>1895</v>
      </c>
      <c r="C1109" t="s">
        <v>44</v>
      </c>
      <c r="E1109" s="3" t="str">
        <f>HYPERLINK("http://www.otzar.org/book.asp?194304","מאמר - ד""ה עשרה שיושבים תרפ""ח")</f>
        <v>מאמר - ד"ה עשרה שיושבים תרפ"ח</v>
      </c>
    </row>
    <row r="1110" spans="1:5" x14ac:dyDescent="0.2">
      <c r="A1110" t="s">
        <v>1896</v>
      </c>
      <c r="B1110" t="s">
        <v>38</v>
      </c>
      <c r="C1110" t="s">
        <v>165</v>
      </c>
      <c r="D1110" t="s">
        <v>8</v>
      </c>
      <c r="E1110" s="3" t="str">
        <f>HYPERLINK("http://www.otzar.org/book.asp?146571","מאמר - 12 כר'")</f>
        <v>מאמר - 12 כר'</v>
      </c>
    </row>
    <row r="1111" spans="1:5" x14ac:dyDescent="0.2">
      <c r="A1111" t="s">
        <v>1897</v>
      </c>
      <c r="B1111" t="s">
        <v>30</v>
      </c>
      <c r="C1111" t="s">
        <v>148</v>
      </c>
      <c r="D1111" t="s">
        <v>8</v>
      </c>
      <c r="E1111" s="3" t="str">
        <f>HYPERLINK("http://www.otzar.org/book.asp?142656","מאמר - 3 כר'")</f>
        <v>מאמר - 3 כר'</v>
      </c>
    </row>
    <row r="1112" spans="1:5" x14ac:dyDescent="0.2">
      <c r="A1112" t="s">
        <v>1897</v>
      </c>
      <c r="B1112" t="s">
        <v>62</v>
      </c>
      <c r="C1112" t="s">
        <v>191</v>
      </c>
      <c r="D1112" t="s">
        <v>8</v>
      </c>
      <c r="E1112" s="3" t="str">
        <f>HYPERLINK("http://www.otzar.org/book.asp?164324","מאמר - 3 כר'")</f>
        <v>מאמר - 3 כר'</v>
      </c>
    </row>
    <row r="1113" spans="1:5" x14ac:dyDescent="0.2">
      <c r="A1113" t="s">
        <v>1898</v>
      </c>
      <c r="B1113" t="s">
        <v>64</v>
      </c>
      <c r="C1113" t="s">
        <v>22</v>
      </c>
      <c r="D1113" t="s">
        <v>8</v>
      </c>
      <c r="E1113" s="3" t="str">
        <f>HYPERLINK("http://www.otzar.org/book.asp?145784","מאמר - 10 כר'")</f>
        <v>מאמר - 10 כר'</v>
      </c>
    </row>
    <row r="1114" spans="1:5" x14ac:dyDescent="0.2">
      <c r="A1114" t="s">
        <v>1899</v>
      </c>
      <c r="B1114" t="s">
        <v>66</v>
      </c>
      <c r="C1114" t="s">
        <v>34</v>
      </c>
      <c r="D1114" t="s">
        <v>8</v>
      </c>
      <c r="E1114" s="3" t="str">
        <f>HYPERLINK("http://www.otzar.org/book.asp?158849","מאמר - 5 כר'")</f>
        <v>מאמר - 5 כר'</v>
      </c>
    </row>
    <row r="1115" spans="1:5" x14ac:dyDescent="0.2">
      <c r="A1115" t="s">
        <v>1900</v>
      </c>
      <c r="B1115" t="s">
        <v>43</v>
      </c>
      <c r="C1115" t="s">
        <v>39</v>
      </c>
      <c r="D1115" t="s">
        <v>40</v>
      </c>
      <c r="E1115" s="3" t="str">
        <f>HYPERLINK("http://www.otzar.org/book.asp?141683","מאמרי אדמו""ר האמצעי &lt;טקסט&gt;")</f>
        <v>מאמרי אדמו"ר האמצעי &lt;טקסט&gt;</v>
      </c>
    </row>
    <row r="1116" spans="1:5" x14ac:dyDescent="0.2">
      <c r="A1116" t="s">
        <v>1901</v>
      </c>
      <c r="B1116" t="s">
        <v>43</v>
      </c>
      <c r="C1116" t="s">
        <v>122</v>
      </c>
      <c r="D1116" t="s">
        <v>8</v>
      </c>
      <c r="E1116" s="3" t="str">
        <f>HYPERLINK("http://www.otzar.org/book.asp?26623","מאמרי אדמו""ר האמצעי - 19 כר'")</f>
        <v>מאמרי אדמו"ר האמצעי - 19 כר'</v>
      </c>
    </row>
    <row r="1117" spans="1:5" x14ac:dyDescent="0.2">
      <c r="A1117" t="s">
        <v>1902</v>
      </c>
      <c r="B1117" t="s">
        <v>24</v>
      </c>
      <c r="C1117" t="s">
        <v>39</v>
      </c>
      <c r="D1117" t="s">
        <v>8</v>
      </c>
      <c r="E1117" s="3" t="str">
        <f>HYPERLINK("http://www.otzar.org/book.asp?140841","מאמרי אדמו""ר הזקן ע""פ חסידות מבוארת - שבת")</f>
        <v>מאמרי אדמו"ר הזקן ע"פ חסידות מבוארת - שבת</v>
      </c>
    </row>
    <row r="1118" spans="1:5" x14ac:dyDescent="0.2">
      <c r="A1118" t="s">
        <v>1903</v>
      </c>
      <c r="B1118" t="s">
        <v>24</v>
      </c>
      <c r="C1118" t="s">
        <v>805</v>
      </c>
      <c r="D1118" t="s">
        <v>92</v>
      </c>
      <c r="E1118" s="3" t="str">
        <f>HYPERLINK("http://www.otzar.org/book.asp?142334","מאמרי אדמו""ר הזקן - 32 כר'")</f>
        <v>מאמרי אדמו"ר הזקן - 32 כר'</v>
      </c>
    </row>
    <row r="1119" spans="1:5" x14ac:dyDescent="0.2">
      <c r="A1119" t="s">
        <v>1904</v>
      </c>
      <c r="B1119" t="s">
        <v>62</v>
      </c>
      <c r="C1119" t="s">
        <v>39</v>
      </c>
      <c r="D1119" t="s">
        <v>40</v>
      </c>
      <c r="E1119" s="3" t="str">
        <f>HYPERLINK("http://www.otzar.org/book.asp?141686","מאמרי אדמו""ר הצמח צדק הנחות תרי""ד-תרט""ו &lt;טקסט&gt;")</f>
        <v>מאמרי אדמו"ר הצמח צדק הנחות תרי"ד-תרט"ו &lt;טקסט&gt;</v>
      </c>
    </row>
    <row r="1120" spans="1:5" x14ac:dyDescent="0.2">
      <c r="A1120" t="s">
        <v>1905</v>
      </c>
      <c r="B1120" t="s">
        <v>62</v>
      </c>
      <c r="C1120" t="s">
        <v>350</v>
      </c>
      <c r="D1120" t="s">
        <v>8</v>
      </c>
      <c r="E1120" s="3" t="str">
        <f>HYPERLINK("http://www.otzar.org/book.asp?611920","מאמרי אדמו""ר הצמח צדק הנחות - א &lt;בראשית-חיי שרה&gt;")</f>
        <v>מאמרי אדמו"ר הצמח צדק הנחות - א &lt;בראשית-חיי שרה&gt;</v>
      </c>
    </row>
    <row r="1121" spans="1:5" x14ac:dyDescent="0.2">
      <c r="A1121" t="s">
        <v>1906</v>
      </c>
      <c r="B1121" t="s">
        <v>62</v>
      </c>
      <c r="C1121" t="s">
        <v>82</v>
      </c>
      <c r="D1121" t="s">
        <v>249</v>
      </c>
      <c r="E1121" s="3" t="str">
        <f>HYPERLINK("http://www.otzar.org/book.asp?606931","מאמרי אדמו""ר הצמח צדק - 2 כר'")</f>
        <v>מאמרי אדמו"ר הצמח צדק - 2 כר'</v>
      </c>
    </row>
    <row r="1122" spans="1:5" x14ac:dyDescent="0.2">
      <c r="A1122" t="s">
        <v>1907</v>
      </c>
      <c r="B1122" t="s">
        <v>1367</v>
      </c>
      <c r="C1122" t="s">
        <v>142</v>
      </c>
      <c r="D1122" t="s">
        <v>40</v>
      </c>
      <c r="E1122" s="3" t="str">
        <f>HYPERLINK("http://www.otzar.org/book.asp?613919","מאמרי אדמו""ר הרש""ב עם ביאור נרחב - א")</f>
        <v>מאמרי אדמו"ר הרש"ב עם ביאור נרחב - א</v>
      </c>
    </row>
    <row r="1123" spans="1:5" x14ac:dyDescent="0.2">
      <c r="A1123" t="s">
        <v>1908</v>
      </c>
      <c r="B1123" t="s">
        <v>30</v>
      </c>
      <c r="C1123" t="s">
        <v>82</v>
      </c>
      <c r="D1123" t="s">
        <v>8</v>
      </c>
      <c r="E1123" s="3" t="str">
        <f>HYPERLINK("http://www.otzar.org/book.asp?196629","מאמרי באתי לגני - תשט""ז תשל""ו")</f>
        <v>מאמרי באתי לגני - תשט"ז תשל"ו</v>
      </c>
    </row>
    <row r="1124" spans="1:5" x14ac:dyDescent="0.2">
      <c r="A1124" t="s">
        <v>1909</v>
      </c>
      <c r="B1124" t="s">
        <v>30</v>
      </c>
      <c r="C1124" t="s">
        <v>142</v>
      </c>
      <c r="D1124" t="s">
        <v>8</v>
      </c>
      <c r="E1124" s="3" t="str">
        <f>HYPERLINK("http://www.otzar.org/book.asp?616781","מאמרי בשעה שהקדימו, וידבר גו' לאמר - תשל""ח")</f>
        <v>מאמרי בשעה שהקדימו, וידבר גו' לאמר - תשל"ח</v>
      </c>
    </row>
    <row r="1125" spans="1:5" x14ac:dyDescent="0.2">
      <c r="A1125" t="s">
        <v>1910</v>
      </c>
      <c r="B1125" t="s">
        <v>310</v>
      </c>
      <c r="C1125" t="s">
        <v>1247</v>
      </c>
      <c r="D1125" t="s">
        <v>92</v>
      </c>
      <c r="E1125" s="3" t="str">
        <f>HYPERLINK("http://www.otzar.org/book.asp?144265","מאמרי השתטחות")</f>
        <v>מאמרי השתטחות</v>
      </c>
    </row>
    <row r="1126" spans="1:5" x14ac:dyDescent="0.2">
      <c r="A1126" t="s">
        <v>1911</v>
      </c>
      <c r="B1126" t="s">
        <v>1912</v>
      </c>
      <c r="C1126" t="s">
        <v>142</v>
      </c>
      <c r="D1126" t="s">
        <v>80</v>
      </c>
      <c r="E1126" s="3" t="str">
        <f>HYPERLINK("http://www.otzar.org/book.asp?622496","מאמרי חסידות")</f>
        <v>מאמרי חסידות</v>
      </c>
    </row>
    <row r="1127" spans="1:5" x14ac:dyDescent="0.2">
      <c r="A1127" t="s">
        <v>1911</v>
      </c>
      <c r="B1127" t="s">
        <v>66</v>
      </c>
      <c r="C1127" t="s">
        <v>82</v>
      </c>
      <c r="D1127" t="s">
        <v>80</v>
      </c>
      <c r="E1127" s="3" t="str">
        <f>HYPERLINK("http://www.otzar.org/book.asp?196124","מאמרי חסידות")</f>
        <v>מאמרי חסידות</v>
      </c>
    </row>
    <row r="1128" spans="1:5" x14ac:dyDescent="0.2">
      <c r="A1128" t="s">
        <v>1913</v>
      </c>
      <c r="B1128" t="s">
        <v>1914</v>
      </c>
      <c r="C1128" t="s">
        <v>165</v>
      </c>
      <c r="D1128" t="s">
        <v>8</v>
      </c>
      <c r="E1128" s="3" t="str">
        <f>HYPERLINK("http://www.otzar.org/book.asp?145767","מאמרי חתונה עם פירוש חסידות מבוארת")</f>
        <v>מאמרי חתונה עם פירוש חסידות מבוארת</v>
      </c>
    </row>
    <row r="1129" spans="1:5" x14ac:dyDescent="0.2">
      <c r="A1129" t="s">
        <v>1915</v>
      </c>
      <c r="B1129" t="s">
        <v>38</v>
      </c>
      <c r="C1129" t="s">
        <v>1916</v>
      </c>
      <c r="D1129" t="s">
        <v>8</v>
      </c>
      <c r="E1129" s="3" t="str">
        <f>HYPERLINK("http://www.otzar.org/book.asp?614803","מאמרי קודש פון כ""ק אדמו""ר שליט""א")</f>
        <v>מאמרי קודש פון כ"ק אדמו"ר שליט"א</v>
      </c>
    </row>
    <row r="1130" spans="1:5" x14ac:dyDescent="0.2">
      <c r="A1130" t="s">
        <v>1917</v>
      </c>
      <c r="B1130" t="s">
        <v>43</v>
      </c>
      <c r="C1130" t="s">
        <v>1918</v>
      </c>
      <c r="D1130" t="s">
        <v>1919</v>
      </c>
      <c r="E1130" s="3" t="str">
        <f>HYPERLINK("http://www.otzar.org/book.asp?102297","מאמרים יקרים")</f>
        <v>מאמרים יקרים</v>
      </c>
    </row>
    <row r="1131" spans="1:5" x14ac:dyDescent="0.2">
      <c r="A1131" t="s">
        <v>1920</v>
      </c>
      <c r="B1131" t="s">
        <v>24</v>
      </c>
      <c r="C1131" t="s">
        <v>52</v>
      </c>
      <c r="D1131" t="s">
        <v>8</v>
      </c>
      <c r="E1131" s="3" t="str">
        <f>HYPERLINK("http://www.otzar.org/book.asp?26913","מאמרים מלוקטים מספר ליקוטי תורה של רבנו הזקן")</f>
        <v>מאמרים מלוקטים מספר ליקוטי תורה של רבנו הזקן</v>
      </c>
    </row>
    <row r="1132" spans="1:5" x14ac:dyDescent="0.2">
      <c r="A1132" t="s">
        <v>1921</v>
      </c>
      <c r="B1132" t="s">
        <v>38</v>
      </c>
      <c r="C1132" t="s">
        <v>86</v>
      </c>
      <c r="D1132" t="s">
        <v>8</v>
      </c>
      <c r="E1132" s="3" t="str">
        <f>HYPERLINK("http://www.otzar.org/book.asp?147743","מאמרים מלוקטים - 3 כר'")</f>
        <v>מאמרים מלוקטים - 3 כר'</v>
      </c>
    </row>
    <row r="1133" spans="1:5" x14ac:dyDescent="0.2">
      <c r="A1133" t="s">
        <v>1922</v>
      </c>
      <c r="B1133" t="s">
        <v>38</v>
      </c>
      <c r="C1133" t="s">
        <v>1916</v>
      </c>
      <c r="D1133" t="s">
        <v>8</v>
      </c>
      <c r="E1133" s="3" t="str">
        <f>HYPERLINK("http://www.otzar.org/book.asp?145659","מאמרים פון כ""ק אדמו""ר שליט""א")</f>
        <v>מאמרים פון כ"ק אדמו"ר שליט"א</v>
      </c>
    </row>
    <row r="1134" spans="1:5" x14ac:dyDescent="0.2">
      <c r="A1134" t="s">
        <v>1923</v>
      </c>
      <c r="B1134" t="s">
        <v>62</v>
      </c>
      <c r="C1134" t="s">
        <v>142</v>
      </c>
      <c r="D1134" t="s">
        <v>8</v>
      </c>
      <c r="E1134" s="3" t="str">
        <f>HYPERLINK("http://www.otzar.org/book.asp?631433","מאמרים קצרים - קובץ ו")</f>
        <v>מאמרים קצרים - קובץ ו</v>
      </c>
    </row>
    <row r="1135" spans="1:5" x14ac:dyDescent="0.2">
      <c r="A1135" t="s">
        <v>1924</v>
      </c>
      <c r="B1135" t="s">
        <v>38</v>
      </c>
      <c r="C1135" t="s">
        <v>656</v>
      </c>
      <c r="D1135" t="s">
        <v>92</v>
      </c>
      <c r="E1135" s="3" t="str">
        <f>HYPERLINK("http://www.otzar.org/book.asp?21489","מאמרים של כ""ק אדמו""ר")</f>
        <v>מאמרים של כ"ק אדמו"ר</v>
      </c>
    </row>
    <row r="1136" spans="1:5" x14ac:dyDescent="0.2">
      <c r="A1136" t="s">
        <v>1925</v>
      </c>
      <c r="B1136" t="s">
        <v>43</v>
      </c>
      <c r="C1136" t="s">
        <v>88</v>
      </c>
      <c r="D1136" t="s">
        <v>8</v>
      </c>
      <c r="E1136" s="3" t="str">
        <f>HYPERLINK("http://www.otzar.org/book.asp?141574","מאמרים - יפה שעה אחת בתשובה ומעש""ט. להבין מארז""ל מפני מה ת""ח כו'")</f>
        <v>מאמרים - יפה שעה אחת בתשובה ומעש"ט. להבין מארז"ל מפני מה ת"ח כו'</v>
      </c>
    </row>
    <row r="1137" spans="1:5" x14ac:dyDescent="0.2">
      <c r="A1137" t="s">
        <v>1926</v>
      </c>
      <c r="B1137" t="s">
        <v>1927</v>
      </c>
      <c r="C1137" t="s">
        <v>111</v>
      </c>
      <c r="D1137" t="s">
        <v>8</v>
      </c>
      <c r="E1137" s="3" t="str">
        <f>HYPERLINK("http://www.otzar.org/book.asp?164375","מאסר וגאולת אדמו""ר האמצעי")</f>
        <v>מאסר וגאולת אדמו"ר האמצעי</v>
      </c>
    </row>
    <row r="1138" spans="1:5" x14ac:dyDescent="0.2">
      <c r="A1138" t="s">
        <v>1928</v>
      </c>
      <c r="B1138" t="s">
        <v>1929</v>
      </c>
      <c r="C1138" t="s">
        <v>76</v>
      </c>
      <c r="D1138" t="s">
        <v>19</v>
      </c>
      <c r="E1138" s="3" t="str">
        <f>HYPERLINK("http://www.otzar.org/book.asp?146416","מבוא למסכת גיטין")</f>
        <v>מבוא למסכת גיטין</v>
      </c>
    </row>
    <row r="1139" spans="1:5" x14ac:dyDescent="0.2">
      <c r="A1139" t="s">
        <v>1930</v>
      </c>
      <c r="B1139" t="s">
        <v>1931</v>
      </c>
      <c r="C1139" t="s">
        <v>165</v>
      </c>
      <c r="D1139" t="s">
        <v>8</v>
      </c>
      <c r="E1139" s="3" t="str">
        <f>HYPERLINK("http://www.otzar.org/book.asp?27882","מבוא לקריאה")</f>
        <v>מבוא לקריאה</v>
      </c>
    </row>
    <row r="1140" spans="1:5" x14ac:dyDescent="0.2">
      <c r="A1140" t="s">
        <v>1932</v>
      </c>
      <c r="B1140" t="s">
        <v>108</v>
      </c>
      <c r="C1140" t="s">
        <v>31</v>
      </c>
      <c r="D1140" t="s">
        <v>40</v>
      </c>
      <c r="E1140" s="3" t="str">
        <f>HYPERLINK("http://www.otzar.org/book.asp?141548","מבועי החסידות - א")</f>
        <v>מבועי החסידות - א</v>
      </c>
    </row>
    <row r="1141" spans="1:5" x14ac:dyDescent="0.2">
      <c r="A1141" t="s">
        <v>1933</v>
      </c>
      <c r="B1141" t="s">
        <v>1934</v>
      </c>
      <c r="C1141" t="s">
        <v>76</v>
      </c>
      <c r="D1141" t="s">
        <v>71</v>
      </c>
      <c r="E1141" s="3" t="str">
        <f>HYPERLINK("http://www.otzar.org/book.asp?141516","מבחר מאמרים למחשבת חב""ד")</f>
        <v>מבחר מאמרים למחשבת חב"ד</v>
      </c>
    </row>
    <row r="1142" spans="1:5" x14ac:dyDescent="0.2">
      <c r="A1142" t="s">
        <v>1935</v>
      </c>
      <c r="B1142" t="s">
        <v>1936</v>
      </c>
      <c r="C1142" t="s">
        <v>73</v>
      </c>
      <c r="D1142" t="s">
        <v>12</v>
      </c>
      <c r="E1142" s="3" t="str">
        <f>HYPERLINK("http://www.otzar.org/book.asp?607977","מבט אל החיים")</f>
        <v>מבט אל החיים</v>
      </c>
    </row>
    <row r="1143" spans="1:5" x14ac:dyDescent="0.2">
      <c r="A1143" t="s">
        <v>1937</v>
      </c>
      <c r="B1143" t="s">
        <v>1938</v>
      </c>
      <c r="C1143" t="s">
        <v>67</v>
      </c>
      <c r="D1143" t="s">
        <v>19</v>
      </c>
      <c r="E1143" s="3" t="str">
        <f>HYPERLINK("http://www.otzar.org/book.asp?140844","מבט חסידי על מועדי ישראל")</f>
        <v>מבט חסידי על מועדי ישראל</v>
      </c>
    </row>
    <row r="1144" spans="1:5" x14ac:dyDescent="0.2">
      <c r="A1144" t="s">
        <v>1939</v>
      </c>
      <c r="B1144" t="s">
        <v>795</v>
      </c>
      <c r="C1144" t="s">
        <v>73</v>
      </c>
      <c r="D1144" t="s">
        <v>12</v>
      </c>
      <c r="E1144" s="3" t="str">
        <f>HYPERLINK("http://www.otzar.org/book.asp?607472","מבט מיוחד")</f>
        <v>מבט מיוחד</v>
      </c>
    </row>
    <row r="1145" spans="1:5" x14ac:dyDescent="0.2">
      <c r="A1145" t="s">
        <v>1940</v>
      </c>
      <c r="B1145" t="s">
        <v>1941</v>
      </c>
      <c r="C1145" t="s">
        <v>142</v>
      </c>
      <c r="D1145" t="s">
        <v>1942</v>
      </c>
      <c r="E1145" s="3" t="str">
        <f>HYPERLINK("http://www.otzar.org/book.asp?622505","מבית המלכות - 2 כר'")</f>
        <v>מבית המלכות - 2 כר'</v>
      </c>
    </row>
    <row r="1146" spans="1:5" x14ac:dyDescent="0.2">
      <c r="A1146" t="s">
        <v>1943</v>
      </c>
      <c r="B1146" t="s">
        <v>180</v>
      </c>
      <c r="C1146" t="s">
        <v>18</v>
      </c>
      <c r="D1146" t="s">
        <v>8</v>
      </c>
      <c r="E1146" s="3" t="str">
        <f>HYPERLINK("http://www.otzar.org/book.asp?143309","מבית חיינו")</f>
        <v>מבית חיינו</v>
      </c>
    </row>
    <row r="1147" spans="1:5" x14ac:dyDescent="0.2">
      <c r="A1147" t="s">
        <v>1944</v>
      </c>
      <c r="B1147" t="s">
        <v>108</v>
      </c>
      <c r="C1147" t="s">
        <v>183</v>
      </c>
      <c r="D1147" t="s">
        <v>8</v>
      </c>
      <c r="E1147" s="3" t="str">
        <f>HYPERLINK("http://www.otzar.org/book.asp?27172","מבית חיינו - 4 כר'")</f>
        <v>מבית חיינו - 4 כר'</v>
      </c>
    </row>
    <row r="1148" spans="1:5" x14ac:dyDescent="0.2">
      <c r="A1148" t="s">
        <v>1945</v>
      </c>
      <c r="B1148" t="s">
        <v>105</v>
      </c>
      <c r="C1148" t="s">
        <v>76</v>
      </c>
      <c r="D1148" t="s">
        <v>19</v>
      </c>
      <c r="E1148" s="3" t="str">
        <f>HYPERLINK("http://www.otzar.org/book.asp?630063","מבנה התניא ורעיונות מרכזיים")</f>
        <v>מבנה התניא ורעיונות מרכזיים</v>
      </c>
    </row>
    <row r="1149" spans="1:5" x14ac:dyDescent="0.2">
      <c r="A1149" t="s">
        <v>1946</v>
      </c>
      <c r="B1149" t="s">
        <v>1947</v>
      </c>
      <c r="C1149" t="s">
        <v>86</v>
      </c>
      <c r="D1149" t="s">
        <v>12</v>
      </c>
      <c r="E1149" s="3" t="str">
        <f>HYPERLINK("http://www.otzar.org/book.asp?162747","מבצע הדפסת ספר התניא - 2 כר'")</f>
        <v>מבצע הדפסת ספר התניא - 2 כר'</v>
      </c>
    </row>
    <row r="1150" spans="1:5" x14ac:dyDescent="0.2">
      <c r="A1150" t="s">
        <v>1948</v>
      </c>
      <c r="B1150" t="s">
        <v>842</v>
      </c>
      <c r="C1150" t="s">
        <v>76</v>
      </c>
      <c r="D1150" t="s">
        <v>19</v>
      </c>
      <c r="E1150" s="3" t="str">
        <f>HYPERLINK("http://www.otzar.org/book.asp?146201","מבצע תפילין")</f>
        <v>מבצע תפילין</v>
      </c>
    </row>
    <row r="1151" spans="1:5" x14ac:dyDescent="0.2">
      <c r="A1151" t="s">
        <v>1949</v>
      </c>
      <c r="B1151" t="s">
        <v>1950</v>
      </c>
      <c r="C1151" t="s">
        <v>76</v>
      </c>
      <c r="D1151" t="s">
        <v>19</v>
      </c>
      <c r="E1151" s="3" t="str">
        <f>HYPERLINK("http://www.otzar.org/book.asp?146233","מבצעון")</f>
        <v>מבצעון</v>
      </c>
    </row>
    <row r="1152" spans="1:5" x14ac:dyDescent="0.2">
      <c r="A1152" t="s">
        <v>1951</v>
      </c>
      <c r="B1152" t="s">
        <v>1952</v>
      </c>
      <c r="C1152" t="s">
        <v>58</v>
      </c>
      <c r="D1152" t="s">
        <v>40</v>
      </c>
      <c r="E1152" s="3" t="str">
        <f>HYPERLINK("http://www.otzar.org/book.asp?141352","מגבעות אשורנו")</f>
        <v>מגבעות אשורנו</v>
      </c>
    </row>
    <row r="1153" spans="1:5" x14ac:dyDescent="0.2">
      <c r="A1153" t="s">
        <v>1953</v>
      </c>
      <c r="B1153" t="s">
        <v>1954</v>
      </c>
      <c r="C1153" t="s">
        <v>1756</v>
      </c>
      <c r="D1153" t="s">
        <v>1955</v>
      </c>
      <c r="E1153" s="3" t="str">
        <f>HYPERLINK("http://www.otzar.org/book.asp?143305","מגדל אור &lt;לוס אנג'לס&gt; - 15 כר'")</f>
        <v>מגדל אור &lt;לוס אנג'לס&gt; - 15 כר'</v>
      </c>
    </row>
    <row r="1154" spans="1:5" x14ac:dyDescent="0.2">
      <c r="A1154" t="s">
        <v>1956</v>
      </c>
      <c r="B1154" t="s">
        <v>1957</v>
      </c>
      <c r="C1154" t="s">
        <v>1756</v>
      </c>
      <c r="D1154" t="s">
        <v>382</v>
      </c>
      <c r="E1154" s="3" t="str">
        <f>HYPERLINK("http://www.otzar.org/book.asp?27384","מגדל אור &lt;מגדל העמק&gt; - 3 כר'")</f>
        <v>מגדל אור &lt;מגדל העמק&gt; - 3 כר'</v>
      </c>
    </row>
    <row r="1155" spans="1:5" x14ac:dyDescent="0.2">
      <c r="A1155" t="s">
        <v>1958</v>
      </c>
      <c r="B1155" t="s">
        <v>108</v>
      </c>
      <c r="C1155" t="s">
        <v>129</v>
      </c>
      <c r="D1155" t="s">
        <v>382</v>
      </c>
      <c r="E1155" s="3" t="str">
        <f>HYPERLINK("http://www.otzar.org/book.asp?145625","מגדל דוד - 35 כר'")</f>
        <v>מגדל דוד - 35 כר'</v>
      </c>
    </row>
    <row r="1156" spans="1:5" x14ac:dyDescent="0.2">
      <c r="A1156" t="s">
        <v>382</v>
      </c>
      <c r="B1156" t="s">
        <v>30</v>
      </c>
      <c r="C1156" t="s">
        <v>183</v>
      </c>
      <c r="D1156" t="s">
        <v>12</v>
      </c>
      <c r="E1156" s="3" t="str">
        <f>HYPERLINK("http://www.otzar.org/book.asp?27568","מגדל העמק")</f>
        <v>מגדל העמק</v>
      </c>
    </row>
    <row r="1157" spans="1:5" x14ac:dyDescent="0.2">
      <c r="A1157" t="s">
        <v>1959</v>
      </c>
      <c r="B1157" t="s">
        <v>145</v>
      </c>
      <c r="C1157" t="s">
        <v>126</v>
      </c>
      <c r="D1157" t="s">
        <v>12</v>
      </c>
      <c r="E1157" s="3" t="str">
        <f>HYPERLINK("http://www.otzar.org/book.asp?60671","מגדל עז")</f>
        <v>מגדל עז</v>
      </c>
    </row>
    <row r="1158" spans="1:5" x14ac:dyDescent="0.2">
      <c r="A1158" t="s">
        <v>1960</v>
      </c>
      <c r="B1158" t="s">
        <v>1961</v>
      </c>
      <c r="C1158" t="s">
        <v>31</v>
      </c>
      <c r="D1158" t="s">
        <v>8</v>
      </c>
      <c r="E1158" s="3" t="str">
        <f>HYPERLINK("http://www.otzar.org/book.asp?26905","מגולה לגאולה")</f>
        <v>מגולה לגאולה</v>
      </c>
    </row>
    <row r="1159" spans="1:5" x14ac:dyDescent="0.2">
      <c r="A1159" t="s">
        <v>1962</v>
      </c>
      <c r="B1159" t="s">
        <v>220</v>
      </c>
      <c r="C1159" t="s">
        <v>34</v>
      </c>
      <c r="D1159" t="s">
        <v>8</v>
      </c>
      <c r="E1159" s="3" t="str">
        <f>HYPERLINK("http://www.otzar.org/book.asp?162891","מגיד דבריו ליעקב &lt;הוצאה חדשה&gt;")</f>
        <v>מגיד דבריו ליעקב &lt;הוצאה חדשה&gt;</v>
      </c>
    </row>
    <row r="1160" spans="1:5" x14ac:dyDescent="0.2">
      <c r="A1160" t="s">
        <v>1963</v>
      </c>
      <c r="B1160" t="s">
        <v>220</v>
      </c>
      <c r="C1160" t="s">
        <v>1964</v>
      </c>
      <c r="D1160" t="s">
        <v>1965</v>
      </c>
      <c r="E1160" s="3" t="str">
        <f>HYPERLINK("http://www.otzar.org/book.asp?9929","מגיד דבריו ליעקב - 2 כר'")</f>
        <v>מגיד דבריו ליעקב - 2 כר'</v>
      </c>
    </row>
    <row r="1161" spans="1:5" x14ac:dyDescent="0.2">
      <c r="A1161" t="s">
        <v>1966</v>
      </c>
      <c r="B1161" t="s">
        <v>1967</v>
      </c>
      <c r="C1161" t="s">
        <v>73</v>
      </c>
      <c r="D1161" t="s">
        <v>12</v>
      </c>
      <c r="E1161" s="3" t="str">
        <f>HYPERLINK("http://www.otzar.org/book.asp?611992","מגיד מראשית אחרית")</f>
        <v>מגיד מראשית אחרית</v>
      </c>
    </row>
    <row r="1162" spans="1:5" x14ac:dyDescent="0.2">
      <c r="A1162" t="s">
        <v>1968</v>
      </c>
      <c r="B1162" t="s">
        <v>1969</v>
      </c>
      <c r="C1162" t="s">
        <v>76</v>
      </c>
      <c r="D1162" t="s">
        <v>8</v>
      </c>
      <c r="E1162" s="3" t="str">
        <f>HYPERLINK("http://www.otzar.org/book.asp?140924","מגילת אסתר וברכת המזון עם ליקוטי ביאורים")</f>
        <v>מגילת אסתר וברכת המזון עם ליקוטי ביאורים</v>
      </c>
    </row>
    <row r="1163" spans="1:5" x14ac:dyDescent="0.2">
      <c r="A1163" t="s">
        <v>1970</v>
      </c>
      <c r="B1163" t="s">
        <v>30</v>
      </c>
      <c r="C1163" t="s">
        <v>67</v>
      </c>
      <c r="D1163" t="s">
        <v>40</v>
      </c>
      <c r="E1163" s="3" t="str">
        <f>HYPERLINK("http://www.otzar.org/book.asp?22075","מגילת אסתר עם שערי מגילה")</f>
        <v>מגילת אסתר עם שערי מגילה</v>
      </c>
    </row>
    <row r="1164" spans="1:5" x14ac:dyDescent="0.2">
      <c r="A1164" t="s">
        <v>1971</v>
      </c>
      <c r="B1164" t="s">
        <v>1971</v>
      </c>
      <c r="C1164" t="s">
        <v>148</v>
      </c>
      <c r="D1164" t="s">
        <v>8</v>
      </c>
      <c r="E1164" s="3" t="str">
        <f>HYPERLINK("http://www.otzar.org/book.asp?164318","מגילת אסתר עם תרגום רוסית")</f>
        <v>מגילת אסתר עם תרגום רוסית</v>
      </c>
    </row>
    <row r="1165" spans="1:5" x14ac:dyDescent="0.2">
      <c r="A1165" t="s">
        <v>1972</v>
      </c>
      <c r="B1165" t="s">
        <v>1973</v>
      </c>
      <c r="C1165" t="s">
        <v>67</v>
      </c>
      <c r="D1165" t="s">
        <v>19</v>
      </c>
      <c r="E1165" s="3" t="str">
        <f>HYPERLINK("http://www.otzar.org/book.asp?141583","מגילת חייו של הרב מלאדי זצ""ל")</f>
        <v>מגילת חייו של הרב מלאדי זצ"ל</v>
      </c>
    </row>
    <row r="1166" spans="1:5" x14ac:dyDescent="0.2">
      <c r="A1166" t="s">
        <v>1974</v>
      </c>
      <c r="B1166" t="s">
        <v>1974</v>
      </c>
      <c r="C1166" t="s">
        <v>49</v>
      </c>
      <c r="D1166" t="s">
        <v>19</v>
      </c>
      <c r="E1166" s="3" t="str">
        <f>HYPERLINK("http://www.otzar.org/book.asp?146002","מגילת י""ט כסלו")</f>
        <v>מגילת י"ט כסלו</v>
      </c>
    </row>
    <row r="1167" spans="1:5" x14ac:dyDescent="0.2">
      <c r="A1167" t="s">
        <v>1975</v>
      </c>
      <c r="B1167" t="s">
        <v>1976</v>
      </c>
      <c r="C1167" t="s">
        <v>76</v>
      </c>
      <c r="D1167" t="s">
        <v>556</v>
      </c>
      <c r="E1167" s="3" t="str">
        <f>HYPERLINK("http://www.otzar.org/book.asp?611208","מגילת ראש חודש כסלו")</f>
        <v>מגילת ראש חודש כסלו</v>
      </c>
    </row>
    <row r="1168" spans="1:5" x14ac:dyDescent="0.2">
      <c r="A1168" t="s">
        <v>1977</v>
      </c>
      <c r="B1168" t="s">
        <v>1978</v>
      </c>
      <c r="C1168" t="s">
        <v>18</v>
      </c>
      <c r="D1168" t="s">
        <v>40</v>
      </c>
      <c r="E1168" s="3" t="str">
        <f>HYPERLINK("http://www.otzar.org/book.asp?146359","מגילת רות עם ביאורים מהרבי מליובאוויטש")</f>
        <v>מגילת רות עם ביאורים מהרבי מליובאוויטש</v>
      </c>
    </row>
    <row r="1169" spans="1:5" x14ac:dyDescent="0.2">
      <c r="A1169" t="s">
        <v>1979</v>
      </c>
      <c r="B1169" t="s">
        <v>30</v>
      </c>
      <c r="C1169" t="s">
        <v>18</v>
      </c>
      <c r="D1169" t="s">
        <v>12</v>
      </c>
      <c r="E1169" s="3" t="str">
        <f>HYPERLINK("http://www.otzar.org/book.asp?146403","מדברי הרבי לילדי ישראל")</f>
        <v>מדברי הרבי לילדי ישראל</v>
      </c>
    </row>
    <row r="1170" spans="1:5" x14ac:dyDescent="0.2">
      <c r="A1170" t="s">
        <v>1980</v>
      </c>
      <c r="B1170" t="s">
        <v>1981</v>
      </c>
      <c r="C1170" t="s">
        <v>488</v>
      </c>
      <c r="D1170" t="s">
        <v>12</v>
      </c>
      <c r="E1170" s="3" t="str">
        <f>HYPERLINK("http://www.otzar.org/book.asp?141519","מדריך הלכתי לפסח")</f>
        <v>מדריך הלכתי לפסח</v>
      </c>
    </row>
    <row r="1171" spans="1:5" x14ac:dyDescent="0.2">
      <c r="A1171" t="s">
        <v>1982</v>
      </c>
      <c r="B1171" t="s">
        <v>895</v>
      </c>
      <c r="C1171" t="s">
        <v>350</v>
      </c>
      <c r="D1171" t="s">
        <v>12</v>
      </c>
      <c r="E1171" s="3" t="str">
        <f>HYPERLINK("http://www.otzar.org/book.asp?607965","מדריך הלכתי - 2 כר'")</f>
        <v>מדריך הלכתי - 2 כר'</v>
      </c>
    </row>
    <row r="1172" spans="1:5" x14ac:dyDescent="0.2">
      <c r="A1172" t="s">
        <v>1983</v>
      </c>
      <c r="B1172" t="s">
        <v>1984</v>
      </c>
      <c r="C1172" t="s">
        <v>82</v>
      </c>
      <c r="D1172" t="s">
        <v>80</v>
      </c>
      <c r="E1172" s="3" t="str">
        <f>HYPERLINK("http://www.otzar.org/book.asp?607957","מדריך הסברה לסדר מהלך החתונה")</f>
        <v>מדריך הסברה לסדר מהלך החתונה</v>
      </c>
    </row>
    <row r="1173" spans="1:5" x14ac:dyDescent="0.2">
      <c r="A1173" t="s">
        <v>1985</v>
      </c>
      <c r="B1173" t="s">
        <v>984</v>
      </c>
      <c r="C1173" t="s">
        <v>65</v>
      </c>
      <c r="D1173" t="s">
        <v>12</v>
      </c>
      <c r="E1173" s="3" t="str">
        <f>HYPERLINK("http://www.otzar.org/book.asp?27834","מדריך לאמהות בחנוך הגיל הרך")</f>
        <v>מדריך לאמהות בחנוך הגיל הרך</v>
      </c>
    </row>
    <row r="1174" spans="1:5" x14ac:dyDescent="0.2">
      <c r="A1174" t="s">
        <v>1986</v>
      </c>
      <c r="B1174" t="s">
        <v>1987</v>
      </c>
      <c r="C1174" t="s">
        <v>47</v>
      </c>
      <c r="D1174" t="s">
        <v>8</v>
      </c>
      <c r="E1174" s="3" t="str">
        <f>HYPERLINK("http://www.otzar.org/book.asp?27587","מדריך להכשרת מטבח")</f>
        <v>מדריך להכשרת מטבח</v>
      </c>
    </row>
    <row r="1175" spans="1:5" x14ac:dyDescent="0.2">
      <c r="A1175" t="s">
        <v>1988</v>
      </c>
      <c r="B1175" t="s">
        <v>1989</v>
      </c>
      <c r="C1175" t="s">
        <v>191</v>
      </c>
      <c r="D1175" t="s">
        <v>382</v>
      </c>
      <c r="E1175" s="3" t="str">
        <f>HYPERLINK("http://www.otzar.org/book.asp?85199","מדריך לטהרת המשפחה לפי שיטת חב""ד")</f>
        <v>מדריך לטהרת המשפחה לפי שיטת חב"ד</v>
      </c>
    </row>
    <row r="1176" spans="1:5" x14ac:dyDescent="0.2">
      <c r="A1176" t="s">
        <v>1990</v>
      </c>
      <c r="B1176" t="s">
        <v>1991</v>
      </c>
      <c r="C1176" t="s">
        <v>155</v>
      </c>
      <c r="D1176" t="s">
        <v>71</v>
      </c>
      <c r="E1176" s="3" t="str">
        <f>HYPERLINK("http://www.otzar.org/book.asp?27835","מדריך תכנית העבודה לגיל הרך")</f>
        <v>מדריך תכנית העבודה לגיל הרך</v>
      </c>
    </row>
    <row r="1177" spans="1:5" x14ac:dyDescent="0.2">
      <c r="A1177" t="s">
        <v>1992</v>
      </c>
      <c r="B1177" t="s">
        <v>1993</v>
      </c>
      <c r="C1177" t="s">
        <v>34</v>
      </c>
      <c r="D1177" t="s">
        <v>12</v>
      </c>
      <c r="E1177" s="3" t="str">
        <f>HYPERLINK("http://www.otzar.org/book.asp?153367","מדרכי ההשתלשלות - 2 כר'")</f>
        <v>מדרכי ההשתלשלות - 2 כר'</v>
      </c>
    </row>
    <row r="1178" spans="1:5" x14ac:dyDescent="0.2">
      <c r="A1178" t="s">
        <v>1994</v>
      </c>
      <c r="B1178" t="s">
        <v>1995</v>
      </c>
      <c r="C1178" t="s">
        <v>276</v>
      </c>
      <c r="D1178" t="s">
        <v>1859</v>
      </c>
      <c r="E1178" s="3" t="str">
        <f>HYPERLINK("http://www.otzar.org/book.asp?84730","מדרכי הקונטרס - 2 כר'")</f>
        <v>מדרכי הקונטרס - 2 כר'</v>
      </c>
    </row>
    <row r="1179" spans="1:5" x14ac:dyDescent="0.2">
      <c r="A1179" t="s">
        <v>1996</v>
      </c>
      <c r="B1179" t="s">
        <v>1997</v>
      </c>
      <c r="C1179" t="s">
        <v>1998</v>
      </c>
      <c r="D1179" t="s">
        <v>1999</v>
      </c>
      <c r="E1179" s="3" t="str">
        <f>HYPERLINK("http://www.otzar.org/book.asp?102324","מדרש ריב""ש טוב")</f>
        <v>מדרש ריב"ש טוב</v>
      </c>
    </row>
    <row r="1180" spans="1:5" x14ac:dyDescent="0.2">
      <c r="A1180" t="s">
        <v>2000</v>
      </c>
      <c r="B1180" t="s">
        <v>30</v>
      </c>
      <c r="C1180" t="s">
        <v>76</v>
      </c>
      <c r="D1180" t="s">
        <v>19</v>
      </c>
      <c r="E1180" s="3" t="str">
        <f>HYPERLINK("http://www.otzar.org/book.asp?614917","מדת הבטחון")</f>
        <v>מדת הבטחון</v>
      </c>
    </row>
    <row r="1181" spans="1:5" x14ac:dyDescent="0.2">
      <c r="A1181" t="s">
        <v>2001</v>
      </c>
      <c r="B1181" t="s">
        <v>108</v>
      </c>
      <c r="C1181" t="s">
        <v>49</v>
      </c>
      <c r="D1181" t="s">
        <v>2002</v>
      </c>
      <c r="E1181" s="3" t="str">
        <f>HYPERLINK("http://www.otzar.org/book.asp?27503","מה טובו אהליך")</f>
        <v>מה טובו אהליך</v>
      </c>
    </row>
    <row r="1182" spans="1:5" x14ac:dyDescent="0.2">
      <c r="A1182" t="s">
        <v>2003</v>
      </c>
      <c r="B1182" t="s">
        <v>1122</v>
      </c>
      <c r="C1182" t="s">
        <v>276</v>
      </c>
      <c r="D1182" t="s">
        <v>12</v>
      </c>
      <c r="E1182" s="3" t="str">
        <f>HYPERLINK("http://www.otzar.org/book.asp?27843","מה ידוע לך על חב""ד")</f>
        <v>מה ידוע לך על חב"ד</v>
      </c>
    </row>
    <row r="1183" spans="1:5" x14ac:dyDescent="0.2">
      <c r="A1183" t="s">
        <v>2004</v>
      </c>
      <c r="B1183" t="s">
        <v>30</v>
      </c>
      <c r="C1183" t="s">
        <v>76</v>
      </c>
      <c r="D1183" t="s">
        <v>249</v>
      </c>
      <c r="E1183" s="3" t="str">
        <f>HYPERLINK("http://www.otzar.org/book.asp?145936","מה עשו נשיאי ארה""ב ורוסיה בעירו של הרבי")</f>
        <v>מה עשו נשיאי ארה"ב ורוסיה בעירו של הרבי</v>
      </c>
    </row>
    <row r="1184" spans="1:5" x14ac:dyDescent="0.2">
      <c r="A1184" t="s">
        <v>2005</v>
      </c>
      <c r="B1184" t="s">
        <v>2006</v>
      </c>
      <c r="C1184" t="s">
        <v>18</v>
      </c>
      <c r="D1184" t="s">
        <v>40</v>
      </c>
      <c r="E1184" s="3" t="str">
        <f>HYPERLINK("http://www.otzar.org/book.asp?27117","מה רבו מעשיך ה'")</f>
        <v>מה רבו מעשיך ה'</v>
      </c>
    </row>
    <row r="1185" spans="1:5" x14ac:dyDescent="0.2">
      <c r="A1185" t="s">
        <v>2007</v>
      </c>
      <c r="B1185" t="s">
        <v>2008</v>
      </c>
      <c r="C1185" t="s">
        <v>276</v>
      </c>
      <c r="D1185" t="s">
        <v>8</v>
      </c>
      <c r="E1185" s="3" t="str">
        <f>HYPERLINK("http://www.otzar.org/book.asp?28809","מה שסיפר לי סבא - 4 כר'")</f>
        <v>מה שסיפר לי סבא - 4 כר'</v>
      </c>
    </row>
    <row r="1186" spans="1:5" x14ac:dyDescent="0.2">
      <c r="A1186" t="s">
        <v>2009</v>
      </c>
      <c r="B1186" t="s">
        <v>2010</v>
      </c>
      <c r="C1186" t="s">
        <v>148</v>
      </c>
      <c r="D1186" t="s">
        <v>40</v>
      </c>
      <c r="E1186" s="3" t="str">
        <f>HYPERLINK("http://www.otzar.org/book.asp?27821","מה שספר לי הרבי - 3 כר'")</f>
        <v>מה שספר לי הרבי - 3 כר'</v>
      </c>
    </row>
    <row r="1187" spans="1:5" x14ac:dyDescent="0.2">
      <c r="A1187" t="s">
        <v>2011</v>
      </c>
      <c r="B1187" t="s">
        <v>24</v>
      </c>
      <c r="C1187" t="s">
        <v>350</v>
      </c>
      <c r="D1187" t="s">
        <v>8</v>
      </c>
      <c r="E1187" s="3" t="str">
        <f>HYPERLINK("http://www.otzar.org/book.asp?613936","מהדורא בתרא מבוארת מתוך שלחן ערוך אדמו""ר הזקן")</f>
        <v>מהדורא בתרא מבוארת מתוך שלחן ערוך אדמו"ר הזקן</v>
      </c>
    </row>
    <row r="1188" spans="1:5" x14ac:dyDescent="0.2">
      <c r="A1188" t="s">
        <v>2012</v>
      </c>
      <c r="B1188" t="s">
        <v>2013</v>
      </c>
      <c r="C1188" t="s">
        <v>350</v>
      </c>
      <c r="D1188" t="s">
        <v>8</v>
      </c>
      <c r="E1188" s="3" t="str">
        <f>HYPERLINK("http://www.otzar.org/book.asp?611967","מהדורה בתרא המבוארת מתוך שו""ע הרב - הלכות שבת")</f>
        <v>מהדורה בתרא המבוארת מתוך שו"ע הרב - הלכות שבת</v>
      </c>
    </row>
    <row r="1189" spans="1:5" x14ac:dyDescent="0.2">
      <c r="A1189" t="s">
        <v>2014</v>
      </c>
      <c r="B1189" t="s">
        <v>75</v>
      </c>
      <c r="C1189" t="s">
        <v>52</v>
      </c>
      <c r="D1189" t="s">
        <v>8</v>
      </c>
      <c r="E1189" s="3" t="str">
        <f>HYPERLINK("http://www.otzar.org/book.asp?26951","מהותם של ישראל במשנת החסידות")</f>
        <v>מהותם של ישראל במשנת החסידות</v>
      </c>
    </row>
    <row r="1190" spans="1:5" x14ac:dyDescent="0.2">
      <c r="A1190" t="s">
        <v>2015</v>
      </c>
      <c r="B1190" t="s">
        <v>24</v>
      </c>
      <c r="C1190" t="s">
        <v>2016</v>
      </c>
      <c r="D1190" t="s">
        <v>2017</v>
      </c>
      <c r="E1190" s="3" t="str">
        <f>HYPERLINK("http://www.otzar.org/book.asp?102298","מוסר השכל")</f>
        <v>מוסר השכל</v>
      </c>
    </row>
    <row r="1191" spans="1:5" x14ac:dyDescent="0.2">
      <c r="A1191" t="s">
        <v>2018</v>
      </c>
      <c r="B1191" t="s">
        <v>855</v>
      </c>
      <c r="C1191" t="s">
        <v>15</v>
      </c>
      <c r="D1191" t="s">
        <v>40</v>
      </c>
      <c r="E1191" s="3" t="str">
        <f>HYPERLINK("http://www.otzar.org/book.asp?614802","מועדים לחסידות - ב")</f>
        <v>מועדים לחסידות - ב</v>
      </c>
    </row>
    <row r="1192" spans="1:5" x14ac:dyDescent="0.2">
      <c r="A1192" t="s">
        <v>2019</v>
      </c>
      <c r="B1192" t="s">
        <v>30</v>
      </c>
      <c r="C1192" t="s">
        <v>165</v>
      </c>
      <c r="D1192" t="s">
        <v>12</v>
      </c>
      <c r="E1192" s="3" t="str">
        <f>HYPERLINK("http://www.otzar.org/book.asp?26941","מורה לדור נבוך - 3 כר'")</f>
        <v>מורה לדור נבוך - 3 כר'</v>
      </c>
    </row>
    <row r="1193" spans="1:5" x14ac:dyDescent="0.2">
      <c r="A1193" t="s">
        <v>2020</v>
      </c>
      <c r="B1193" t="s">
        <v>2021</v>
      </c>
      <c r="C1193" t="s">
        <v>11</v>
      </c>
      <c r="D1193" t="s">
        <v>12</v>
      </c>
      <c r="E1193" s="3" t="str">
        <f>HYPERLINK("http://www.otzar.org/book.asp?163136","מושל ברוחו")</f>
        <v>מושל ברוחו</v>
      </c>
    </row>
    <row r="1194" spans="1:5" x14ac:dyDescent="0.2">
      <c r="A1194" t="s">
        <v>2022</v>
      </c>
      <c r="B1194" t="s">
        <v>2023</v>
      </c>
      <c r="C1194" t="s">
        <v>165</v>
      </c>
      <c r="D1194" t="s">
        <v>8</v>
      </c>
      <c r="E1194" s="3" t="str">
        <f>HYPERLINK("http://www.otzar.org/book.asp?607468","מזוזה - שמירה וברכה (באנגלית)")</f>
        <v>מזוזה - שמירה וברכה (באנגלית)</v>
      </c>
    </row>
    <row r="1195" spans="1:5" x14ac:dyDescent="0.2">
      <c r="A1195" t="s">
        <v>2024</v>
      </c>
      <c r="B1195" t="s">
        <v>2025</v>
      </c>
      <c r="C1195" t="s">
        <v>58</v>
      </c>
      <c r="D1195" t="s">
        <v>12</v>
      </c>
      <c r="E1195" s="3" t="str">
        <f>HYPERLINK("http://www.otzar.org/book.asp?140878","מזוזה - עיונים הלכות מנהגים וסיפורים")</f>
        <v>מזוזה - עיונים הלכות מנהגים וסיפורים</v>
      </c>
    </row>
    <row r="1196" spans="1:5" x14ac:dyDescent="0.2">
      <c r="A1196" t="s">
        <v>2026</v>
      </c>
      <c r="B1196" t="s">
        <v>2027</v>
      </c>
      <c r="C1196" t="s">
        <v>673</v>
      </c>
      <c r="D1196" t="s">
        <v>8</v>
      </c>
      <c r="E1196" s="3" t="str">
        <f>HYPERLINK("http://www.otzar.org/book.asp?146365","מזוזה")</f>
        <v>מזוזה</v>
      </c>
    </row>
    <row r="1197" spans="1:5" x14ac:dyDescent="0.2">
      <c r="A1197" t="s">
        <v>2028</v>
      </c>
      <c r="B1197" t="s">
        <v>108</v>
      </c>
      <c r="C1197" t="s">
        <v>183</v>
      </c>
      <c r="D1197" t="s">
        <v>8</v>
      </c>
      <c r="E1197" s="3" t="str">
        <f>HYPERLINK("http://www.otzar.org/book.asp?27175","מזמור לתודה - 2 כר'")</f>
        <v>מזמור לתודה - 2 כר'</v>
      </c>
    </row>
    <row r="1198" spans="1:5" x14ac:dyDescent="0.2">
      <c r="A1198" t="s">
        <v>2029</v>
      </c>
      <c r="B1198" t="s">
        <v>2030</v>
      </c>
      <c r="C1198" t="s">
        <v>54</v>
      </c>
      <c r="D1198" t="s">
        <v>1942</v>
      </c>
      <c r="E1198" s="3" t="str">
        <f>HYPERLINK("http://www.otzar.org/book.asp?173559","מחזור השלם ליוה""כ כמנהג חב""ד עם תרגום צרפתית")</f>
        <v>מחזור השלם ליוה"כ כמנהג חב"ד עם תרגום צרפתית</v>
      </c>
    </row>
    <row r="1199" spans="1:5" x14ac:dyDescent="0.2">
      <c r="A1199" t="s">
        <v>2031</v>
      </c>
      <c r="B1199" t="s">
        <v>2032</v>
      </c>
      <c r="C1199" t="s">
        <v>44</v>
      </c>
      <c r="D1199" t="s">
        <v>8</v>
      </c>
      <c r="E1199" s="3" t="str">
        <f>HYPERLINK("http://www.otzar.org/book.asp?175906","מחזור השלם לר""ה ויה""כ - מהדורה מוערת")</f>
        <v>מחזור השלם לר"ה ויה"כ - מהדורה מוערת</v>
      </c>
    </row>
    <row r="1200" spans="1:5" x14ac:dyDescent="0.2">
      <c r="A1200" t="s">
        <v>2033</v>
      </c>
      <c r="B1200" t="s">
        <v>2034</v>
      </c>
      <c r="C1200" t="s">
        <v>148</v>
      </c>
      <c r="D1200" t="s">
        <v>8</v>
      </c>
      <c r="E1200" s="3" t="str">
        <f>HYPERLINK("http://www.otzar.org/book.asp?141381","מחזור השלם לר""ה ויוה""כ ע""פ מנהג חב""ד")</f>
        <v>מחזור השלם לר"ה ויוה"כ ע"פ מנהג חב"ד</v>
      </c>
    </row>
    <row r="1201" spans="1:5" x14ac:dyDescent="0.2">
      <c r="A1201" t="s">
        <v>2035</v>
      </c>
      <c r="B1201" t="s">
        <v>2036</v>
      </c>
      <c r="C1201" t="s">
        <v>165</v>
      </c>
      <c r="D1201" t="s">
        <v>8</v>
      </c>
      <c r="E1201" s="3" t="str">
        <f>HYPERLINK("http://www.otzar.org/book.asp?141386","מחזור השלם לראש השנה עם תרגום אנגלי")</f>
        <v>מחזור השלם לראש השנה עם תרגום אנגלי</v>
      </c>
    </row>
    <row r="1202" spans="1:5" x14ac:dyDescent="0.2">
      <c r="A1202" t="s">
        <v>2037</v>
      </c>
      <c r="B1202" t="s">
        <v>2038</v>
      </c>
      <c r="C1202" t="s">
        <v>73</v>
      </c>
      <c r="D1202" t="s">
        <v>166</v>
      </c>
      <c r="E1202" s="3" t="str">
        <f>HYPERLINK("http://www.otzar.org/book.asp?181527","מחזור ליום הכיפורים אבינו מלכנו")</f>
        <v>מחזור ליום הכיפורים אבינו מלכנו</v>
      </c>
    </row>
    <row r="1203" spans="1:5" x14ac:dyDescent="0.2">
      <c r="A1203" t="s">
        <v>2039</v>
      </c>
      <c r="B1203" t="s">
        <v>2040</v>
      </c>
      <c r="C1203" t="s">
        <v>11</v>
      </c>
      <c r="D1203" t="s">
        <v>272</v>
      </c>
      <c r="E1203" s="3" t="str">
        <f>HYPERLINK("http://www.otzar.org/book.asp?164315","מחזור לראש השנה &lt;עם תרגום ספרדית&gt;")</f>
        <v>מחזור לראש השנה &lt;עם תרגום ספרדית&gt;</v>
      </c>
    </row>
    <row r="1204" spans="1:5" x14ac:dyDescent="0.2">
      <c r="A1204" t="s">
        <v>2041</v>
      </c>
      <c r="B1204" t="s">
        <v>2042</v>
      </c>
      <c r="C1204" t="s">
        <v>44</v>
      </c>
      <c r="D1204" t="s">
        <v>8</v>
      </c>
      <c r="E1204" s="3" t="str">
        <f>HYPERLINK("http://www.otzar.org/book.asp?175908","מחזור עם פירוש משולב - 2 כר'")</f>
        <v>מחזור עם פירוש משולב - 2 כר'</v>
      </c>
    </row>
    <row r="1205" spans="1:5" x14ac:dyDescent="0.2">
      <c r="A1205" t="s">
        <v>2043</v>
      </c>
      <c r="B1205" t="s">
        <v>2044</v>
      </c>
      <c r="C1205" t="s">
        <v>477</v>
      </c>
      <c r="D1205" t="s">
        <v>12</v>
      </c>
      <c r="E1205" s="3" t="str">
        <f>HYPERLINK("http://www.otzar.org/book.asp?27509","מחיל אל חיל - א")</f>
        <v>מחיל אל חיל - א</v>
      </c>
    </row>
    <row r="1206" spans="1:5" x14ac:dyDescent="0.2">
      <c r="A1206" t="s">
        <v>2045</v>
      </c>
      <c r="B1206" t="s">
        <v>1199</v>
      </c>
      <c r="C1206" t="s">
        <v>15</v>
      </c>
      <c r="D1206" t="s">
        <v>40</v>
      </c>
      <c r="E1206" s="3" t="str">
        <f>HYPERLINK("http://www.otzar.org/book.asp?632039","מחנה יוסף - עיונים במשנת רבינו")</f>
        <v>מחנה יוסף - עיונים במשנת רבינו</v>
      </c>
    </row>
    <row r="1207" spans="1:5" x14ac:dyDescent="0.2">
      <c r="A1207" t="s">
        <v>2046</v>
      </c>
      <c r="B1207" t="s">
        <v>33</v>
      </c>
      <c r="C1207" t="s">
        <v>86</v>
      </c>
      <c r="D1207" t="s">
        <v>40</v>
      </c>
      <c r="E1207" s="3" t="str">
        <f>HYPERLINK("http://www.otzar.org/book.asp?160871","מחצבת - 2 כר'")</f>
        <v>מחצבת - 2 כר'</v>
      </c>
    </row>
    <row r="1208" spans="1:5" x14ac:dyDescent="0.2">
      <c r="A1208" t="s">
        <v>2047</v>
      </c>
      <c r="B1208" t="s">
        <v>75</v>
      </c>
      <c r="C1208" t="s">
        <v>183</v>
      </c>
      <c r="D1208" t="s">
        <v>12</v>
      </c>
      <c r="E1208" s="3" t="str">
        <f>HYPERLINK("http://www.otzar.org/book.asp?27097","מחשבת החסידות - 2 כר'")</f>
        <v>מחשבת החסידות - 2 כר'</v>
      </c>
    </row>
    <row r="1209" spans="1:5" x14ac:dyDescent="0.2">
      <c r="A1209" t="s">
        <v>2048</v>
      </c>
      <c r="B1209" t="s">
        <v>1080</v>
      </c>
      <c r="C1209" t="s">
        <v>76</v>
      </c>
      <c r="D1209" t="s">
        <v>12</v>
      </c>
      <c r="E1209" s="3" t="str">
        <f>HYPERLINK("http://www.otzar.org/book.asp?140880","מחתרת חסידית בברית המועצות")</f>
        <v>מחתרת חסידית בברית המועצות</v>
      </c>
    </row>
    <row r="1210" spans="1:5" x14ac:dyDescent="0.2">
      <c r="A1210" t="s">
        <v>2049</v>
      </c>
      <c r="B1210" t="s">
        <v>336</v>
      </c>
      <c r="C1210" t="s">
        <v>213</v>
      </c>
      <c r="D1210" t="s">
        <v>12</v>
      </c>
      <c r="E1210" s="3" t="str">
        <f>HYPERLINK("http://www.otzar.org/book.asp?27114","מטל השמים - 2 כר'")</f>
        <v>מטל השמים - 2 כר'</v>
      </c>
    </row>
    <row r="1211" spans="1:5" x14ac:dyDescent="0.2">
      <c r="A1211" t="s">
        <v>2050</v>
      </c>
      <c r="B1211" t="s">
        <v>2051</v>
      </c>
      <c r="C1211" t="s">
        <v>1543</v>
      </c>
      <c r="D1211" t="s">
        <v>71</v>
      </c>
      <c r="E1211" s="3" t="str">
        <f>HYPERLINK("http://www.otzar.org/book.asp?141370","מי מה ואימתי")</f>
        <v>מי מה ואימתי</v>
      </c>
    </row>
    <row r="1212" spans="1:5" x14ac:dyDescent="0.2">
      <c r="A1212" t="s">
        <v>2052</v>
      </c>
      <c r="B1212" t="s">
        <v>30</v>
      </c>
      <c r="C1212" t="s">
        <v>70</v>
      </c>
      <c r="D1212" t="s">
        <v>12</v>
      </c>
      <c r="E1212" s="3" t="str">
        <f>HYPERLINK("http://www.otzar.org/book.asp?11935","מיהו יהודי ועל גירות על פי ההלכה")</f>
        <v>מיהו יהודי ועל גירות על פי ההלכה</v>
      </c>
    </row>
    <row r="1213" spans="1:5" x14ac:dyDescent="0.2">
      <c r="A1213" t="s">
        <v>2053</v>
      </c>
      <c r="B1213" t="s">
        <v>2054</v>
      </c>
      <c r="C1213" t="s">
        <v>44</v>
      </c>
      <c r="D1213" t="s">
        <v>12</v>
      </c>
      <c r="E1213" s="3" t="str">
        <f>HYPERLINK("http://www.otzar.org/book.asp?175890","מיידנצ'יק הקטר של חב""ד")</f>
        <v>מיידנצ'יק הקטר של חב"ד</v>
      </c>
    </row>
    <row r="1214" spans="1:5" x14ac:dyDescent="0.2">
      <c r="A1214" t="s">
        <v>2055</v>
      </c>
      <c r="B1214" t="s">
        <v>2056</v>
      </c>
      <c r="C1214" t="s">
        <v>15</v>
      </c>
      <c r="D1214" t="s">
        <v>19</v>
      </c>
      <c r="E1214" s="3" t="str">
        <f>HYPERLINK("http://www.otzar.org/book.asp?630327","מיין גענעראל - 2 כר'")</f>
        <v>מיין גענעראל - 2 כר'</v>
      </c>
    </row>
    <row r="1215" spans="1:5" x14ac:dyDescent="0.2">
      <c r="A1215" t="s">
        <v>2057</v>
      </c>
      <c r="B1215" t="s">
        <v>2058</v>
      </c>
      <c r="C1215" t="s">
        <v>76</v>
      </c>
      <c r="D1215" t="s">
        <v>19</v>
      </c>
      <c r="E1215" s="3" t="str">
        <f>HYPERLINK("http://www.otzar.org/book.asp?622204","מיין נחמן")</f>
        <v>מיין נחמן</v>
      </c>
    </row>
    <row r="1216" spans="1:5" x14ac:dyDescent="0.2">
      <c r="A1216" t="s">
        <v>2059</v>
      </c>
      <c r="B1216" t="s">
        <v>30</v>
      </c>
      <c r="C1216" t="s">
        <v>276</v>
      </c>
      <c r="D1216" t="s">
        <v>8</v>
      </c>
      <c r="E1216" s="3" t="str">
        <f>HYPERLINK("http://www.otzar.org/book.asp?141533","מילואים לספר חידושים וביאורים במסכת גיטין")</f>
        <v>מילואים לספר חידושים וביאורים במסכת גיטין</v>
      </c>
    </row>
    <row r="1217" spans="1:5" x14ac:dyDescent="0.2">
      <c r="A1217" t="s">
        <v>2060</v>
      </c>
      <c r="B1217" t="s">
        <v>1690</v>
      </c>
      <c r="C1217" t="s">
        <v>49</v>
      </c>
      <c r="D1217" t="s">
        <v>8</v>
      </c>
      <c r="E1217" s="3" t="str">
        <f>HYPERLINK("http://www.otzar.org/book.asp?141508","מילואים לספר מראי מקומות לספר משנה תורה")</f>
        <v>מילואים לספר מראי מקומות לספר משנה תורה</v>
      </c>
    </row>
    <row r="1218" spans="1:5" x14ac:dyDescent="0.2">
      <c r="A1218" t="s">
        <v>2061</v>
      </c>
      <c r="B1218" t="s">
        <v>2062</v>
      </c>
      <c r="C1218" t="s">
        <v>91</v>
      </c>
      <c r="D1218" t="s">
        <v>8</v>
      </c>
      <c r="E1218" s="3" t="str">
        <f>HYPERLINK("http://www.otzar.org/book.asp?145660","מילון עברי אנגלי")</f>
        <v>מילון עברי אנגלי</v>
      </c>
    </row>
    <row r="1219" spans="1:5" x14ac:dyDescent="0.2">
      <c r="A1219" t="s">
        <v>2063</v>
      </c>
      <c r="B1219" t="s">
        <v>2064</v>
      </c>
      <c r="C1219" t="s">
        <v>327</v>
      </c>
      <c r="D1219" t="s">
        <v>12</v>
      </c>
      <c r="E1219" s="3" t="str">
        <f>HYPERLINK("http://www.otzar.org/book.asp?27853","מכריעים עולם באחת")</f>
        <v>מכריעים עולם באחת</v>
      </c>
    </row>
    <row r="1220" spans="1:5" x14ac:dyDescent="0.2">
      <c r="A1220" t="s">
        <v>2065</v>
      </c>
      <c r="B1220" t="s">
        <v>38</v>
      </c>
      <c r="C1220" t="s">
        <v>2066</v>
      </c>
      <c r="D1220" t="s">
        <v>19</v>
      </c>
      <c r="E1220" s="3" t="str">
        <f>HYPERLINK("http://www.otzar.org/book.asp?146364","מכתב הוד כ""ק אדמו""ר שליט""א מליובאוויטש אודות ספר התניא")</f>
        <v>מכתב הוד כ"ק אדמו"ר שליט"א מליובאוויטש אודות ספר התניא</v>
      </c>
    </row>
    <row r="1221" spans="1:5" x14ac:dyDescent="0.2">
      <c r="A1221" t="s">
        <v>2067</v>
      </c>
      <c r="B1221" t="s">
        <v>2068</v>
      </c>
      <c r="C1221" t="s">
        <v>15</v>
      </c>
      <c r="D1221" t="s">
        <v>19</v>
      </c>
      <c r="E1221" s="3" t="str">
        <f>HYPERLINK("http://www.otzar.org/book.asp?608497","מכתב תשובה")</f>
        <v>מכתב תשובה</v>
      </c>
    </row>
    <row r="1222" spans="1:5" x14ac:dyDescent="0.2">
      <c r="A1222" t="s">
        <v>2069</v>
      </c>
      <c r="B1222" t="s">
        <v>1442</v>
      </c>
      <c r="C1222" t="s">
        <v>276</v>
      </c>
      <c r="D1222" t="s">
        <v>8</v>
      </c>
      <c r="E1222" s="3" t="str">
        <f>HYPERLINK("http://www.otzar.org/book.asp?27646","מכתבי החתונה")</f>
        <v>מכתבי החתונה</v>
      </c>
    </row>
    <row r="1223" spans="1:5" x14ac:dyDescent="0.2">
      <c r="A1223" t="s">
        <v>2070</v>
      </c>
      <c r="B1223" t="s">
        <v>2071</v>
      </c>
      <c r="C1223" t="s">
        <v>15</v>
      </c>
      <c r="D1223" t="s">
        <v>549</v>
      </c>
      <c r="E1223" s="3" t="str">
        <f>HYPERLINK("http://www.otzar.org/book.asp?193140","מכתבי פאר")</f>
        <v>מכתבי פאר</v>
      </c>
    </row>
    <row r="1224" spans="1:5" x14ac:dyDescent="0.2">
      <c r="A1224" t="s">
        <v>2072</v>
      </c>
      <c r="B1224" t="s">
        <v>2073</v>
      </c>
      <c r="C1224" t="s">
        <v>148</v>
      </c>
      <c r="D1224" t="s">
        <v>40</v>
      </c>
      <c r="E1224" s="3" t="str">
        <f>HYPERLINK("http://www.otzar.org/book.asp?142652","מכתבים מבית חיינו")</f>
        <v>מכתבים מבית חיינו</v>
      </c>
    </row>
    <row r="1225" spans="1:5" x14ac:dyDescent="0.2">
      <c r="A1225" t="s">
        <v>2074</v>
      </c>
      <c r="B1225" t="s">
        <v>545</v>
      </c>
      <c r="C1225" t="s">
        <v>2075</v>
      </c>
      <c r="D1225" t="s">
        <v>1058</v>
      </c>
      <c r="E1225" s="3" t="str">
        <f>HYPERLINK("http://www.otzar.org/book.asp?13603","מכתבים מהבעל שם טוב ותלמידיו")</f>
        <v>מכתבים מהבעל שם טוב ותלמידיו</v>
      </c>
    </row>
    <row r="1226" spans="1:5" x14ac:dyDescent="0.2">
      <c r="A1226" t="s">
        <v>2076</v>
      </c>
      <c r="B1226" t="s">
        <v>30</v>
      </c>
      <c r="C1226" t="s">
        <v>58</v>
      </c>
      <c r="D1226" t="s">
        <v>8</v>
      </c>
      <c r="E1226" s="3" t="str">
        <f>HYPERLINK("http://www.otzar.org/book.asp?27178","מכתבים")</f>
        <v>מכתבים</v>
      </c>
    </row>
    <row r="1227" spans="1:5" x14ac:dyDescent="0.2">
      <c r="A1227" t="s">
        <v>2077</v>
      </c>
      <c r="B1227" t="s">
        <v>108</v>
      </c>
      <c r="C1227" t="s">
        <v>161</v>
      </c>
      <c r="D1227" t="s">
        <v>816</v>
      </c>
      <c r="E1227" s="3" t="str">
        <f>HYPERLINK("http://www.otzar.org/book.asp?143289","מלאה הארץ דעה")</f>
        <v>מלאה הארץ דעה</v>
      </c>
    </row>
    <row r="1228" spans="1:5" x14ac:dyDescent="0.2">
      <c r="A1228" t="s">
        <v>2078</v>
      </c>
      <c r="B1228" t="s">
        <v>2078</v>
      </c>
      <c r="C1228" t="s">
        <v>115</v>
      </c>
      <c r="D1228" t="s">
        <v>19</v>
      </c>
      <c r="E1228" s="3" t="str">
        <f>HYPERLINK("http://www.otzar.org/book.asp?146513","מלוה מלכה")</f>
        <v>מלוה מלכה</v>
      </c>
    </row>
    <row r="1229" spans="1:5" x14ac:dyDescent="0.2">
      <c r="A1229" t="s">
        <v>2079</v>
      </c>
      <c r="B1229" t="s">
        <v>2080</v>
      </c>
      <c r="C1229" t="s">
        <v>76</v>
      </c>
      <c r="D1229" t="s">
        <v>323</v>
      </c>
      <c r="E1229" s="3" t="str">
        <f>HYPERLINK("http://www.otzar.org/book.asp?11464","מליץ יושר")</f>
        <v>מליץ יושר</v>
      </c>
    </row>
    <row r="1230" spans="1:5" x14ac:dyDescent="0.2">
      <c r="A1230" t="s">
        <v>2081</v>
      </c>
      <c r="B1230" t="s">
        <v>2082</v>
      </c>
      <c r="C1230" t="s">
        <v>129</v>
      </c>
      <c r="D1230" t="s">
        <v>249</v>
      </c>
      <c r="E1230" s="3" t="str">
        <f>HYPERLINK("http://www.otzar.org/book.asp?143317","מלך המשיח")</f>
        <v>מלך המשיח</v>
      </c>
    </row>
    <row r="1231" spans="1:5" x14ac:dyDescent="0.2">
      <c r="A1231" t="s">
        <v>2083</v>
      </c>
      <c r="B1231" t="s">
        <v>224</v>
      </c>
      <c r="C1231" t="s">
        <v>122</v>
      </c>
      <c r="D1231" t="s">
        <v>12</v>
      </c>
      <c r="E1231" s="3" t="str">
        <f>HYPERLINK("http://www.otzar.org/book.asp?160581","מלכות ישראל - 2 כר'")</f>
        <v>מלכות ישראל - 2 כר'</v>
      </c>
    </row>
    <row r="1232" spans="1:5" x14ac:dyDescent="0.2">
      <c r="A1232" t="s">
        <v>2084</v>
      </c>
      <c r="B1232" t="s">
        <v>2085</v>
      </c>
      <c r="C1232" t="s">
        <v>111</v>
      </c>
      <c r="D1232" t="s">
        <v>12</v>
      </c>
      <c r="E1232" s="3" t="str">
        <f>HYPERLINK("http://www.otzar.org/book.asp?27453","מלתא דבדיחותא - אוצר חכמה וחדוד לקורא הצעיר")</f>
        <v>מלתא דבדיחותא - אוצר חכמה וחדוד לקורא הצעיר</v>
      </c>
    </row>
    <row r="1233" spans="1:5" x14ac:dyDescent="0.2">
      <c r="A1233" t="s">
        <v>2086</v>
      </c>
      <c r="B1233" t="s">
        <v>2087</v>
      </c>
      <c r="C1233" t="s">
        <v>54</v>
      </c>
      <c r="D1233" t="s">
        <v>382</v>
      </c>
      <c r="E1233" s="3" t="str">
        <f>HYPERLINK("http://www.otzar.org/book.asp?600296","ממלכת כהנים")</f>
        <v>ממלכת כהנים</v>
      </c>
    </row>
    <row r="1234" spans="1:5" x14ac:dyDescent="0.2">
      <c r="A1234" t="s">
        <v>2088</v>
      </c>
      <c r="B1234" t="s">
        <v>207</v>
      </c>
      <c r="C1234" t="s">
        <v>301</v>
      </c>
      <c r="D1234" t="s">
        <v>12</v>
      </c>
      <c r="E1234" s="3" t="str">
        <f>HYPERLINK("http://www.otzar.org/book.asp?141336","ממעיני החסידות - 2 כר'")</f>
        <v>ממעיני החסידות - 2 כר'</v>
      </c>
    </row>
    <row r="1235" spans="1:5" x14ac:dyDescent="0.2">
      <c r="A1235" t="s">
        <v>2089</v>
      </c>
      <c r="B1235" t="s">
        <v>266</v>
      </c>
      <c r="C1235" t="s">
        <v>82</v>
      </c>
      <c r="D1235" t="s">
        <v>12</v>
      </c>
      <c r="E1235" s="3" t="str">
        <f>HYPERLINK("http://www.otzar.org/book.asp?607697","מן המעין")</f>
        <v>מן המעין</v>
      </c>
    </row>
    <row r="1236" spans="1:5" x14ac:dyDescent="0.2">
      <c r="A1236" t="s">
        <v>2090</v>
      </c>
      <c r="B1236" t="s">
        <v>2091</v>
      </c>
      <c r="C1236" t="s">
        <v>18</v>
      </c>
      <c r="D1236" t="s">
        <v>8</v>
      </c>
      <c r="E1236" s="3" t="str">
        <f>HYPERLINK("http://www.otzar.org/book.asp?27419","מנגינת החיים")</f>
        <v>מנגינת החיים</v>
      </c>
    </row>
    <row r="1237" spans="1:5" x14ac:dyDescent="0.2">
      <c r="A1237" t="s">
        <v>2092</v>
      </c>
      <c r="B1237" t="s">
        <v>2092</v>
      </c>
      <c r="C1237" t="s">
        <v>148</v>
      </c>
      <c r="D1237" t="s">
        <v>12</v>
      </c>
      <c r="E1237" s="3" t="str">
        <f>HYPERLINK("http://www.otzar.org/book.asp?141636","מנהג חב""ד בכתיבת הכתובה ובנוסח התפילה")</f>
        <v>מנהג חב"ד בכתיבת הכתובה ובנוסח התפילה</v>
      </c>
    </row>
    <row r="1238" spans="1:5" x14ac:dyDescent="0.2">
      <c r="A1238" t="s">
        <v>2093</v>
      </c>
      <c r="B1238" t="s">
        <v>2094</v>
      </c>
      <c r="C1238" t="s">
        <v>350</v>
      </c>
      <c r="D1238" t="s">
        <v>249</v>
      </c>
      <c r="E1238" s="3" t="str">
        <f>HYPERLINK("http://www.otzar.org/book.asp?613857","מנחם משיב נפשי - מבוא להלכות טהרה")</f>
        <v>מנחם משיב נפשי - מבוא להלכות טהרה</v>
      </c>
    </row>
    <row r="1239" spans="1:5" x14ac:dyDescent="0.2">
      <c r="A1239" t="s">
        <v>2095</v>
      </c>
      <c r="B1239" t="s">
        <v>33</v>
      </c>
      <c r="C1239" t="s">
        <v>86</v>
      </c>
      <c r="D1239" t="s">
        <v>166</v>
      </c>
      <c r="E1239" s="3" t="str">
        <f>HYPERLINK("http://www.otzar.org/book.asp?160623","מנחם משיב נפשי")</f>
        <v>מנחם משיב נפשי</v>
      </c>
    </row>
    <row r="1240" spans="1:5" x14ac:dyDescent="0.2">
      <c r="A1240" t="s">
        <v>2096</v>
      </c>
      <c r="B1240" t="s">
        <v>30</v>
      </c>
      <c r="C1240" t="s">
        <v>54</v>
      </c>
      <c r="D1240" t="s">
        <v>40</v>
      </c>
      <c r="E1240" s="3" t="str">
        <f>HYPERLINK("http://www.otzar.org/book.asp?169947","מנחם משיב נפשי - 2 כר'")</f>
        <v>מנחם משיב נפשי - 2 כר'</v>
      </c>
    </row>
    <row r="1241" spans="1:5" x14ac:dyDescent="0.2">
      <c r="A1241" t="s">
        <v>2097</v>
      </c>
      <c r="B1241" t="s">
        <v>108</v>
      </c>
      <c r="C1241" t="s">
        <v>52</v>
      </c>
      <c r="D1241" t="s">
        <v>788</v>
      </c>
      <c r="E1241" s="3" t="str">
        <f>HYPERLINK("http://www.otzar.org/book.asp?141358","מנחת התמימים")</f>
        <v>מנחת התמימים</v>
      </c>
    </row>
    <row r="1242" spans="1:5" x14ac:dyDescent="0.2">
      <c r="A1242" t="s">
        <v>2098</v>
      </c>
      <c r="B1242" t="s">
        <v>2099</v>
      </c>
      <c r="C1242" t="s">
        <v>22</v>
      </c>
      <c r="D1242" t="s">
        <v>8</v>
      </c>
      <c r="E1242" s="3" t="str">
        <f>HYPERLINK("http://www.otzar.org/book.asp?27346","מנחת יהודה וירושלים")</f>
        <v>מנחת יהודה וירושלים</v>
      </c>
    </row>
    <row r="1243" spans="1:5" x14ac:dyDescent="0.2">
      <c r="A1243" t="s">
        <v>2100</v>
      </c>
      <c r="B1243" t="s">
        <v>2101</v>
      </c>
      <c r="C1243" t="s">
        <v>201</v>
      </c>
      <c r="D1243" t="s">
        <v>12</v>
      </c>
      <c r="E1243" s="3" t="str">
        <f>HYPERLINK("http://www.otzar.org/book.asp?27354","מנחת נחום")</f>
        <v>מנחת נחום</v>
      </c>
    </row>
    <row r="1244" spans="1:5" x14ac:dyDescent="0.2">
      <c r="A1244" t="s">
        <v>2102</v>
      </c>
      <c r="B1244" t="s">
        <v>108</v>
      </c>
      <c r="C1244" t="s">
        <v>67</v>
      </c>
      <c r="D1244" t="s">
        <v>2103</v>
      </c>
      <c r="E1244" s="3" t="str">
        <f>HYPERLINK("http://www.otzar.org/book.asp?27476","מנחת תמים - 2 כר'")</f>
        <v>מנחת תמים - 2 כר'</v>
      </c>
    </row>
    <row r="1245" spans="1:5" x14ac:dyDescent="0.2">
      <c r="A1245" t="s">
        <v>2104</v>
      </c>
      <c r="B1245" t="s">
        <v>2105</v>
      </c>
      <c r="C1245" t="s">
        <v>65</v>
      </c>
      <c r="D1245" t="s">
        <v>8</v>
      </c>
      <c r="E1245" s="3" t="str">
        <f>HYPERLINK("http://www.otzar.org/book.asp?143303","מסירות נפש של יהודי בוכרה")</f>
        <v>מסירות נפש של יהודי בוכרה</v>
      </c>
    </row>
    <row r="1246" spans="1:5" x14ac:dyDescent="0.2">
      <c r="A1246" t="s">
        <v>2106</v>
      </c>
      <c r="B1246" t="s">
        <v>545</v>
      </c>
      <c r="C1246" t="s">
        <v>2107</v>
      </c>
      <c r="D1246" t="s">
        <v>40</v>
      </c>
      <c r="E1246" s="3" t="str">
        <f>HYPERLINK("http://www.otzar.org/book.asp?11125","מסכת אבות &lt;בעש""ט&gt;")</f>
        <v>מסכת אבות &lt;בעש"ט&gt;</v>
      </c>
    </row>
    <row r="1247" spans="1:5" x14ac:dyDescent="0.2">
      <c r="A1247" t="s">
        <v>2108</v>
      </c>
      <c r="B1247" t="s">
        <v>1022</v>
      </c>
      <c r="C1247" t="s">
        <v>276</v>
      </c>
      <c r="D1247" t="s">
        <v>12</v>
      </c>
      <c r="E1247" s="3" t="str">
        <f>HYPERLINK("http://www.otzar.org/book.asp?618962","מסע הרבי בארץ הקודש")</f>
        <v>מסע הרבי בארץ הקודש</v>
      </c>
    </row>
    <row r="1248" spans="1:5" x14ac:dyDescent="0.2">
      <c r="A1248" t="s">
        <v>2109</v>
      </c>
      <c r="B1248" t="s">
        <v>2110</v>
      </c>
      <c r="C1248" t="s">
        <v>11</v>
      </c>
      <c r="D1248" t="s">
        <v>12</v>
      </c>
      <c r="E1248" s="3" t="str">
        <f>HYPERLINK("http://www.otzar.org/book.asp?607800","מעגל השנה באור החסידות")</f>
        <v>מעגל השנה באור החסידות</v>
      </c>
    </row>
    <row r="1249" spans="1:5" x14ac:dyDescent="0.2">
      <c r="A1249" t="s">
        <v>2111</v>
      </c>
      <c r="B1249" t="s">
        <v>2112</v>
      </c>
      <c r="C1249" t="s">
        <v>76</v>
      </c>
      <c r="D1249" t="s">
        <v>332</v>
      </c>
      <c r="E1249" s="3" t="str">
        <f>HYPERLINK("http://www.otzar.org/book.asp?143360","מעגל חיים")</f>
        <v>מעגל חיים</v>
      </c>
    </row>
    <row r="1250" spans="1:5" x14ac:dyDescent="0.2">
      <c r="A1250" t="s">
        <v>2113</v>
      </c>
      <c r="B1250" t="s">
        <v>172</v>
      </c>
      <c r="C1250" t="s">
        <v>44</v>
      </c>
      <c r="D1250" t="s">
        <v>12</v>
      </c>
      <c r="E1250" s="3" t="str">
        <f>HYPERLINK("http://www.otzar.org/book.asp?173821","מעדני יום טוב")</f>
        <v>מעדני יום טוב</v>
      </c>
    </row>
    <row r="1251" spans="1:5" x14ac:dyDescent="0.2">
      <c r="A1251" t="s">
        <v>2114</v>
      </c>
      <c r="B1251" t="s">
        <v>1128</v>
      </c>
      <c r="C1251" t="s">
        <v>155</v>
      </c>
      <c r="D1251" t="s">
        <v>332</v>
      </c>
      <c r="E1251" s="3" t="str">
        <f>HYPERLINK("http://www.otzar.org/book.asp?27270","מעדני מלך - א")</f>
        <v>מעדני מלך - א</v>
      </c>
    </row>
    <row r="1252" spans="1:5" x14ac:dyDescent="0.2">
      <c r="A1252" t="s">
        <v>2115</v>
      </c>
      <c r="B1252" t="s">
        <v>108</v>
      </c>
      <c r="C1252" t="s">
        <v>67</v>
      </c>
      <c r="D1252" t="s">
        <v>332</v>
      </c>
      <c r="E1252" s="3" t="str">
        <f>HYPERLINK("http://www.otzar.org/book.asp?27496","מעדני מלך - ו")</f>
        <v>מעדני מלך - ו</v>
      </c>
    </row>
    <row r="1253" spans="1:5" x14ac:dyDescent="0.2">
      <c r="A1253" t="s">
        <v>2116</v>
      </c>
      <c r="B1253" t="s">
        <v>108</v>
      </c>
      <c r="C1253" t="s">
        <v>67</v>
      </c>
      <c r="D1253" t="s">
        <v>272</v>
      </c>
      <c r="E1253" s="3" t="str">
        <f>HYPERLINK("http://www.otzar.org/book.asp?146407","מעדני מלכות")</f>
        <v>מעדני מלכות</v>
      </c>
    </row>
    <row r="1254" spans="1:5" x14ac:dyDescent="0.2">
      <c r="A1254" t="s">
        <v>2117</v>
      </c>
      <c r="B1254" t="s">
        <v>795</v>
      </c>
      <c r="C1254" t="s">
        <v>350</v>
      </c>
      <c r="D1254" t="s">
        <v>12</v>
      </c>
      <c r="E1254" s="3" t="str">
        <f>HYPERLINK("http://www.otzar.org/book.asp?611970","מעט מן האור - 2 כר'")</f>
        <v>מעט מן האור - 2 כר'</v>
      </c>
    </row>
    <row r="1255" spans="1:5" x14ac:dyDescent="0.2">
      <c r="A1255" t="s">
        <v>2118</v>
      </c>
      <c r="B1255" t="s">
        <v>2119</v>
      </c>
      <c r="C1255" t="s">
        <v>477</v>
      </c>
      <c r="D1255" t="s">
        <v>8</v>
      </c>
      <c r="E1255" s="3" t="str">
        <f>HYPERLINK("http://www.otzar.org/book.asp?616792","מעיין חי - בראשית")</f>
        <v>מעיין חי - בראשית</v>
      </c>
    </row>
    <row r="1256" spans="1:5" x14ac:dyDescent="0.2">
      <c r="A1256" t="s">
        <v>2120</v>
      </c>
      <c r="B1256" t="s">
        <v>108</v>
      </c>
      <c r="C1256" t="s">
        <v>22</v>
      </c>
      <c r="D1256" t="s">
        <v>332</v>
      </c>
      <c r="E1256" s="3" t="str">
        <f>HYPERLINK("http://www.otzar.org/book.asp?23720","מעיינות החסידות - 2 כר'")</f>
        <v>מעיינות החסידות - 2 כר'</v>
      </c>
    </row>
    <row r="1257" spans="1:5" x14ac:dyDescent="0.2">
      <c r="A1257" t="s">
        <v>2121</v>
      </c>
      <c r="B1257" t="s">
        <v>1367</v>
      </c>
      <c r="C1257" t="s">
        <v>76</v>
      </c>
      <c r="D1257" t="s">
        <v>40</v>
      </c>
      <c r="E1257" s="3" t="str">
        <f>HYPERLINK("http://www.otzar.org/book.asp?621037","מעיינותיך חוברת לימוד - דרך מצוותיך")</f>
        <v>מעיינותיך חוברת לימוד - דרך מצוותיך</v>
      </c>
    </row>
    <row r="1258" spans="1:5" x14ac:dyDescent="0.2">
      <c r="A1258" t="s">
        <v>2122</v>
      </c>
      <c r="B1258" t="s">
        <v>30</v>
      </c>
      <c r="C1258" t="s">
        <v>155</v>
      </c>
      <c r="D1258" t="s">
        <v>8</v>
      </c>
      <c r="E1258" s="3" t="str">
        <f>HYPERLINK("http://www.otzar.org/book.asp?142716","מעייני הישועה - 2 כר'")</f>
        <v>מעייני הישועה - 2 כר'</v>
      </c>
    </row>
    <row r="1259" spans="1:5" x14ac:dyDescent="0.2">
      <c r="A1259" t="s">
        <v>2123</v>
      </c>
      <c r="B1259" t="s">
        <v>10</v>
      </c>
      <c r="C1259" t="s">
        <v>15</v>
      </c>
      <c r="D1259" t="s">
        <v>12</v>
      </c>
      <c r="E1259" s="3" t="str">
        <f>HYPERLINK("http://www.otzar.org/book.asp?189074","מעייני רש""י - 2 כר'")</f>
        <v>מעייני רש"י - 2 כר'</v>
      </c>
    </row>
    <row r="1260" spans="1:5" x14ac:dyDescent="0.2">
      <c r="A1260" t="s">
        <v>2124</v>
      </c>
      <c r="B1260" t="s">
        <v>2125</v>
      </c>
      <c r="C1260" t="s">
        <v>54</v>
      </c>
      <c r="D1260" t="s">
        <v>19</v>
      </c>
      <c r="E1260" s="3" t="str">
        <f>HYPERLINK("http://www.otzar.org/book.asp?607785","מעין האוצר - 3 כר'")</f>
        <v>מעין האוצר - 3 כר'</v>
      </c>
    </row>
    <row r="1261" spans="1:5" x14ac:dyDescent="0.2">
      <c r="A1261" t="s">
        <v>2126</v>
      </c>
      <c r="B1261" t="s">
        <v>2127</v>
      </c>
      <c r="C1261" t="s">
        <v>73</v>
      </c>
      <c r="D1261" t="s">
        <v>2128</v>
      </c>
      <c r="E1261" s="3" t="str">
        <f>HYPERLINK("http://www.otzar.org/book.asp?182550","מעלי שבתא - 2 כר'")</f>
        <v>מעלי שבתא - 2 כר'</v>
      </c>
    </row>
    <row r="1262" spans="1:5" x14ac:dyDescent="0.2">
      <c r="A1262" t="s">
        <v>2129</v>
      </c>
      <c r="C1262" t="s">
        <v>34</v>
      </c>
      <c r="D1262" t="s">
        <v>8</v>
      </c>
      <c r="E1262" s="3" t="str">
        <f>HYPERLINK("http://www.otzar.org/book.asp?627067","מעלת מספר ששים")</f>
        <v>מעלת מספר ששים</v>
      </c>
    </row>
    <row r="1263" spans="1:5" x14ac:dyDescent="0.2">
      <c r="A1263" t="s">
        <v>2130</v>
      </c>
      <c r="B1263" t="s">
        <v>2131</v>
      </c>
      <c r="C1263" t="s">
        <v>142</v>
      </c>
      <c r="D1263" t="s">
        <v>8</v>
      </c>
      <c r="E1263" s="3" t="str">
        <f>HYPERLINK("http://www.otzar.org/book.asp?622488","מענה לשון")</f>
        <v>מענה לשון</v>
      </c>
    </row>
    <row r="1264" spans="1:5" x14ac:dyDescent="0.2">
      <c r="A1264" t="s">
        <v>2132</v>
      </c>
      <c r="B1264" t="s">
        <v>30</v>
      </c>
      <c r="C1264" t="s">
        <v>165</v>
      </c>
      <c r="D1264" t="s">
        <v>12</v>
      </c>
      <c r="E1264" s="3" t="str">
        <f>HYPERLINK("http://www.otzar.org/book.asp?27852","מענה מלך - ב")</f>
        <v>מענה מלך - ב</v>
      </c>
    </row>
    <row r="1265" spans="1:5" x14ac:dyDescent="0.2">
      <c r="A1265" t="s">
        <v>2133</v>
      </c>
      <c r="B1265" t="s">
        <v>30</v>
      </c>
      <c r="C1265" t="s">
        <v>350</v>
      </c>
      <c r="D1265" t="s">
        <v>8</v>
      </c>
      <c r="E1265" s="3" t="str">
        <f>HYPERLINK("http://www.otzar.org/book.asp?607832","מענות נדירים")</f>
        <v>מענות נדירים</v>
      </c>
    </row>
    <row r="1266" spans="1:5" x14ac:dyDescent="0.2">
      <c r="A1266" t="s">
        <v>2134</v>
      </c>
      <c r="B1266" t="s">
        <v>1184</v>
      </c>
      <c r="C1266" t="s">
        <v>73</v>
      </c>
      <c r="D1266" t="s">
        <v>12</v>
      </c>
      <c r="E1266" s="3" t="str">
        <f>HYPERLINK("http://www.otzar.org/book.asp?181093","מעשה ברבי")</f>
        <v>מעשה ברבי</v>
      </c>
    </row>
    <row r="1267" spans="1:5" x14ac:dyDescent="0.2">
      <c r="A1267" t="s">
        <v>2135</v>
      </c>
      <c r="B1267" t="s">
        <v>2136</v>
      </c>
      <c r="C1267" t="s">
        <v>44</v>
      </c>
      <c r="D1267" t="s">
        <v>8</v>
      </c>
      <c r="E1267" s="3" t="str">
        <f>HYPERLINK("http://www.otzar.org/book.asp?175891","מעשה חשב &lt;חלקי&gt; - תולדות הרה""ג ר' חיים שאול ברוק")</f>
        <v>מעשה חשב &lt;חלקי&gt; - תולדות הרה"ג ר' חיים שאול ברוק</v>
      </c>
    </row>
    <row r="1268" spans="1:5" x14ac:dyDescent="0.2">
      <c r="A1268" t="s">
        <v>2137</v>
      </c>
      <c r="B1268" t="s">
        <v>2138</v>
      </c>
      <c r="C1268" t="s">
        <v>76</v>
      </c>
      <c r="D1268" t="s">
        <v>19</v>
      </c>
      <c r="E1268" s="3" t="str">
        <f>HYPERLINK("http://www.otzar.org/book.asp?164364","מעשה מלך - 2 כר'")</f>
        <v>מעשה מלך - 2 כר'</v>
      </c>
    </row>
    <row r="1269" spans="1:5" x14ac:dyDescent="0.2">
      <c r="A1269" t="s">
        <v>2139</v>
      </c>
      <c r="B1269" t="s">
        <v>103</v>
      </c>
      <c r="C1269" t="s">
        <v>15</v>
      </c>
      <c r="D1269" t="s">
        <v>80</v>
      </c>
      <c r="E1269" s="3" t="str">
        <f>HYPERLINK("http://www.otzar.org/book.asp?195734","מעשה רבי")</f>
        <v>מעשה רבי</v>
      </c>
    </row>
    <row r="1270" spans="1:5" x14ac:dyDescent="0.2">
      <c r="A1270" t="s">
        <v>2140</v>
      </c>
      <c r="B1270" t="s">
        <v>33</v>
      </c>
      <c r="C1270" t="s">
        <v>11</v>
      </c>
      <c r="D1270" t="s">
        <v>8</v>
      </c>
      <c r="E1270" s="3" t="str">
        <f>HYPERLINK("http://www.otzar.org/book.asp?162767","מפתח אינצקלופדי לתורת חסידות חב""ד")</f>
        <v>מפתח אינצקלופדי לתורת חסידות חב"ד</v>
      </c>
    </row>
    <row r="1271" spans="1:5" x14ac:dyDescent="0.2">
      <c r="A1271" t="s">
        <v>2141</v>
      </c>
      <c r="B1271" t="s">
        <v>2142</v>
      </c>
      <c r="C1271" t="s">
        <v>65</v>
      </c>
      <c r="D1271" t="s">
        <v>8</v>
      </c>
      <c r="E1271" s="3" t="str">
        <f>HYPERLINK("http://www.otzar.org/book.asp?143323","מפתח ביאורי פירוש רש""י על התורה ונ""ך - 2 כר'")</f>
        <v>מפתח ביאורי פירוש רש"י על התורה ונ"ך - 2 כר'</v>
      </c>
    </row>
    <row r="1272" spans="1:5" x14ac:dyDescent="0.2">
      <c r="A1272" t="s">
        <v>2143</v>
      </c>
      <c r="B1272" t="s">
        <v>2144</v>
      </c>
      <c r="C1272" t="s">
        <v>60</v>
      </c>
      <c r="D1272" t="s">
        <v>8</v>
      </c>
      <c r="E1272" s="3" t="str">
        <f>HYPERLINK("http://www.otzar.org/book.asp?145648","מפתח בעניני בית הבחירה")</f>
        <v>מפתח בעניני בית הבחירה</v>
      </c>
    </row>
    <row r="1273" spans="1:5" x14ac:dyDescent="0.2">
      <c r="A1273" t="s">
        <v>2145</v>
      </c>
      <c r="B1273" t="s">
        <v>2146</v>
      </c>
      <c r="C1273" t="s">
        <v>152</v>
      </c>
      <c r="D1273" t="s">
        <v>8</v>
      </c>
      <c r="E1273" s="3" t="str">
        <f>HYPERLINK("http://www.otzar.org/book.asp?146010","מפתח להוראות והדרכות")</f>
        <v>מפתח להוראות והדרכות</v>
      </c>
    </row>
    <row r="1274" spans="1:5" x14ac:dyDescent="0.2">
      <c r="A1274" t="s">
        <v>2147</v>
      </c>
      <c r="B1274" t="s">
        <v>956</v>
      </c>
      <c r="C1274" t="s">
        <v>201</v>
      </c>
      <c r="D1274" t="s">
        <v>8</v>
      </c>
      <c r="E1274" s="3" t="str">
        <f>HYPERLINK("http://www.otzar.org/book.asp?141464","מפתח לפסוקים מחז""ל וכו' אשר בספר התניא")</f>
        <v>מפתח לפסוקים מחז"ל וכו' אשר בספר התניא</v>
      </c>
    </row>
    <row r="1275" spans="1:5" x14ac:dyDescent="0.2">
      <c r="A1275" t="s">
        <v>2148</v>
      </c>
      <c r="B1275" t="s">
        <v>1495</v>
      </c>
      <c r="C1275" t="s">
        <v>76</v>
      </c>
      <c r="D1275" t="s">
        <v>8</v>
      </c>
      <c r="E1275" s="3" t="str">
        <f>HYPERLINK("http://www.otzar.org/book.asp?146527","מפתח לקונטרס עץ החיים")</f>
        <v>מפתח לקונטרס עץ החיים</v>
      </c>
    </row>
    <row r="1276" spans="1:5" x14ac:dyDescent="0.2">
      <c r="A1276" t="s">
        <v>2149</v>
      </c>
      <c r="B1276" t="s">
        <v>2142</v>
      </c>
      <c r="C1276" t="s">
        <v>22</v>
      </c>
      <c r="D1276" t="s">
        <v>8</v>
      </c>
      <c r="E1276" s="3" t="str">
        <f>HYPERLINK("http://www.otzar.org/book.asp?145967","מפתח מאמרים ושיחות - 2 כר'")</f>
        <v>מפתח מאמרים ושיחות - 2 כר'</v>
      </c>
    </row>
    <row r="1277" spans="1:5" x14ac:dyDescent="0.2">
      <c r="A1277" t="s">
        <v>2150</v>
      </c>
      <c r="B1277" t="s">
        <v>2142</v>
      </c>
      <c r="C1277" t="s">
        <v>126</v>
      </c>
      <c r="D1277" t="s">
        <v>8</v>
      </c>
      <c r="E1277" s="3" t="str">
        <f>HYPERLINK("http://www.otzar.org/book.asp?143278","מפתח מאמרים שיחות ומכתבים")</f>
        <v>מפתח מאמרים שיחות ומכתבים</v>
      </c>
    </row>
    <row r="1278" spans="1:5" x14ac:dyDescent="0.2">
      <c r="A1278" t="s">
        <v>2151</v>
      </c>
      <c r="B1278" t="s">
        <v>2152</v>
      </c>
      <c r="C1278" t="s">
        <v>22</v>
      </c>
      <c r="D1278" t="s">
        <v>19</v>
      </c>
      <c r="E1278" s="3" t="str">
        <f>HYPERLINK("http://www.otzar.org/book.asp?140882","מפתח ענינים בעניני גאולה ומשיח")</f>
        <v>מפתח ענינים בעניני גאולה ומשיח</v>
      </c>
    </row>
    <row r="1279" spans="1:5" x14ac:dyDescent="0.2">
      <c r="A1279" t="s">
        <v>2153</v>
      </c>
      <c r="B1279" t="s">
        <v>2154</v>
      </c>
      <c r="C1279" t="s">
        <v>76</v>
      </c>
      <c r="D1279" t="s">
        <v>8</v>
      </c>
      <c r="E1279" s="3" t="str">
        <f>HYPERLINK("http://www.otzar.org/book.asp?146371","מפתח ענינים ומראי מקומות למאמר אנכי מגן לך תרנ""ח")</f>
        <v>מפתח ענינים ומראי מקומות למאמר אנכי מגן לך תרנ"ח</v>
      </c>
    </row>
    <row r="1280" spans="1:5" x14ac:dyDescent="0.2">
      <c r="A1280" t="s">
        <v>2155</v>
      </c>
      <c r="B1280" t="s">
        <v>1814</v>
      </c>
      <c r="C1280" t="s">
        <v>60</v>
      </c>
      <c r="D1280" t="s">
        <v>8</v>
      </c>
      <c r="E1280" s="3" t="str">
        <f>HYPERLINK("http://www.otzar.org/book.asp?145945","מפתח ענינים למאמרי כ""ק אדמו""ר שלום דובער זצוקללה""ה")</f>
        <v>מפתח ענינים למאמרי כ"ק אדמו"ר שלום דובער זצוקללה"ה</v>
      </c>
    </row>
    <row r="1281" spans="1:5" x14ac:dyDescent="0.2">
      <c r="A1281" t="s">
        <v>2156</v>
      </c>
      <c r="B1281" t="s">
        <v>2144</v>
      </c>
      <c r="C1281" t="s">
        <v>183</v>
      </c>
      <c r="D1281" t="s">
        <v>8</v>
      </c>
      <c r="E1281" s="3" t="str">
        <f>HYPERLINK("http://www.otzar.org/book.asp?141517","מפתח ענינים לרשימות")</f>
        <v>מפתח ענינים לרשימות</v>
      </c>
    </row>
    <row r="1282" spans="1:5" x14ac:dyDescent="0.2">
      <c r="A1282" t="s">
        <v>2157</v>
      </c>
      <c r="B1282" t="s">
        <v>30</v>
      </c>
      <c r="C1282" t="s">
        <v>119</v>
      </c>
      <c r="D1282" t="s">
        <v>8</v>
      </c>
      <c r="E1282" s="3" t="str">
        <f>HYPERLINK("http://www.otzar.org/book.asp?27062","מפתח ענינים לשיחות קודש - א")</f>
        <v>מפתח ענינים לשיחות קודש - א</v>
      </c>
    </row>
    <row r="1283" spans="1:5" x14ac:dyDescent="0.2">
      <c r="A1283" t="s">
        <v>2158</v>
      </c>
      <c r="B1283" t="s">
        <v>17</v>
      </c>
      <c r="C1283" t="s">
        <v>148</v>
      </c>
      <c r="D1283" t="s">
        <v>8</v>
      </c>
      <c r="E1283" s="3" t="str">
        <f>HYPERLINK("http://www.otzar.org/book.asp?28918","מפתח ענינים לשלחן ערוך אדמו""ר הזקן")</f>
        <v>מפתח ענינים לשלחן ערוך אדמו"ר הזקן</v>
      </c>
    </row>
    <row r="1284" spans="1:5" x14ac:dyDescent="0.2">
      <c r="A1284" t="s">
        <v>2159</v>
      </c>
      <c r="B1284" t="s">
        <v>2160</v>
      </c>
      <c r="C1284" t="s">
        <v>76</v>
      </c>
      <c r="D1284" t="s">
        <v>19</v>
      </c>
      <c r="E1284" s="3" t="str">
        <f>HYPERLINK("http://www.otzar.org/book.asp?145947","מפתח ערכים לספר כללי הפוסקים וההוראה")</f>
        <v>מפתח ערכים לספר כללי הפוסקים וההוראה</v>
      </c>
    </row>
    <row r="1285" spans="1:5" x14ac:dyDescent="0.2">
      <c r="A1285" t="s">
        <v>2161</v>
      </c>
      <c r="B1285" t="s">
        <v>2162</v>
      </c>
      <c r="C1285" t="s">
        <v>65</v>
      </c>
      <c r="D1285" t="s">
        <v>8</v>
      </c>
      <c r="E1285" s="3" t="str">
        <f>HYPERLINK("http://www.otzar.org/book.asp?27275","מפתח שמות בעלי המימרות שבפרש""י עה""ת")</f>
        <v>מפתח שמות בעלי המימרות שבפרש"י עה"ת</v>
      </c>
    </row>
    <row r="1286" spans="1:5" x14ac:dyDescent="0.2">
      <c r="A1286" t="s">
        <v>2163</v>
      </c>
      <c r="B1286" t="s">
        <v>30</v>
      </c>
      <c r="C1286" t="s">
        <v>673</v>
      </c>
      <c r="D1286" t="s">
        <v>92</v>
      </c>
      <c r="E1286" s="3" t="str">
        <f>HYPERLINK("http://www.otzar.org/book.asp?103532","מפתחות והערות לספר ליקוטי תורה")</f>
        <v>מפתחות והערות לספר ליקוטי תורה</v>
      </c>
    </row>
    <row r="1287" spans="1:5" x14ac:dyDescent="0.2">
      <c r="A1287" t="s">
        <v>2164</v>
      </c>
      <c r="B1287" t="s">
        <v>956</v>
      </c>
      <c r="C1287" t="s">
        <v>60</v>
      </c>
      <c r="D1287" t="s">
        <v>8</v>
      </c>
      <c r="E1287" s="3" t="str">
        <f>HYPERLINK("http://www.otzar.org/book.asp?146341","מפתחות לספר המאמרים תרל""ו")</f>
        <v>מפתחות לספר המאמרים תרל"ו</v>
      </c>
    </row>
    <row r="1288" spans="1:5" x14ac:dyDescent="0.2">
      <c r="A1288" t="s">
        <v>2165</v>
      </c>
      <c r="B1288" t="s">
        <v>30</v>
      </c>
      <c r="C1288" t="s">
        <v>1060</v>
      </c>
      <c r="D1288" t="s">
        <v>92</v>
      </c>
      <c r="E1288" s="3" t="str">
        <f>HYPERLINK("http://www.otzar.org/book.asp?102258","מפתחות לספר התניא")</f>
        <v>מפתחות לספר התניא</v>
      </c>
    </row>
    <row r="1289" spans="1:5" x14ac:dyDescent="0.2">
      <c r="A1289" t="s">
        <v>2166</v>
      </c>
      <c r="B1289" t="s">
        <v>956</v>
      </c>
      <c r="C1289" t="s">
        <v>448</v>
      </c>
      <c r="D1289" t="s">
        <v>8</v>
      </c>
      <c r="E1289" s="3" t="str">
        <f>HYPERLINK("http://www.otzar.org/book.asp?141507","מפתחות לספר כתר שם טוב ולספר צוואת הריב""ש")</f>
        <v>מפתחות לספר כתר שם טוב ולספר צוואת הריב"ש</v>
      </c>
    </row>
    <row r="1290" spans="1:5" x14ac:dyDescent="0.2">
      <c r="A1290" t="s">
        <v>2167</v>
      </c>
      <c r="B1290" t="s">
        <v>30</v>
      </c>
      <c r="C1290" t="s">
        <v>152</v>
      </c>
      <c r="D1290" t="s">
        <v>8</v>
      </c>
      <c r="E1290" s="3" t="str">
        <f>HYPERLINK("http://www.otzar.org/book.asp?85290","מפתחות לספרי ליקוטי שיחות - 2 כר'")</f>
        <v>מפתחות לספרי ליקוטי שיחות - 2 כר'</v>
      </c>
    </row>
    <row r="1291" spans="1:5" x14ac:dyDescent="0.2">
      <c r="A1291" t="s">
        <v>2168</v>
      </c>
      <c r="B1291" t="s">
        <v>30</v>
      </c>
      <c r="C1291" t="s">
        <v>126</v>
      </c>
      <c r="D1291" t="s">
        <v>166</v>
      </c>
      <c r="E1291" s="3" t="str">
        <f>HYPERLINK("http://www.otzar.org/book.asp?146408","מצב חרום")</f>
        <v>מצב חרום</v>
      </c>
    </row>
    <row r="1292" spans="1:5" x14ac:dyDescent="0.2">
      <c r="A1292" t="s">
        <v>2169</v>
      </c>
      <c r="B1292" t="s">
        <v>303</v>
      </c>
      <c r="C1292" t="s">
        <v>34</v>
      </c>
      <c r="D1292" t="s">
        <v>12</v>
      </c>
      <c r="E1292" s="3" t="str">
        <f>HYPERLINK("http://www.otzar.org/book.asp?157272","מצדיקי הרבים ככוכבים - 8 כר'")</f>
        <v>מצדיקי הרבים ככוכבים - 8 כר'</v>
      </c>
    </row>
    <row r="1293" spans="1:5" x14ac:dyDescent="0.2">
      <c r="A1293" t="s">
        <v>2170</v>
      </c>
      <c r="B1293" t="s">
        <v>2171</v>
      </c>
      <c r="C1293" t="s">
        <v>155</v>
      </c>
      <c r="D1293" t="s">
        <v>12</v>
      </c>
      <c r="E1293" s="3" t="str">
        <f>HYPERLINK("http://www.otzar.org/book.asp?146292","מצוה יומית - 3 כר'")</f>
        <v>מצוה יומית - 3 כר'</v>
      </c>
    </row>
    <row r="1294" spans="1:5" x14ac:dyDescent="0.2">
      <c r="A1294" t="s">
        <v>2172</v>
      </c>
      <c r="B1294" t="s">
        <v>2172</v>
      </c>
      <c r="C1294" t="s">
        <v>76</v>
      </c>
      <c r="D1294" t="s">
        <v>19</v>
      </c>
      <c r="E1294" s="3" t="str">
        <f>HYPERLINK("http://www.otzar.org/book.asp?146247","מצוות נרות שבת קודש")</f>
        <v>מצוות נרות שבת קודש</v>
      </c>
    </row>
    <row r="1295" spans="1:5" x14ac:dyDescent="0.2">
      <c r="A1295" t="s">
        <v>2173</v>
      </c>
      <c r="B1295" t="s">
        <v>2174</v>
      </c>
      <c r="C1295" t="s">
        <v>67</v>
      </c>
      <c r="D1295" t="s">
        <v>12</v>
      </c>
      <c r="E1295" s="3" t="str">
        <f>HYPERLINK("http://www.otzar.org/book.asp?141545","מצות הקהל")</f>
        <v>מצות הקהל</v>
      </c>
    </row>
    <row r="1296" spans="1:5" x14ac:dyDescent="0.2">
      <c r="A1296" t="s">
        <v>2175</v>
      </c>
      <c r="B1296" t="s">
        <v>30</v>
      </c>
      <c r="C1296" t="s">
        <v>65</v>
      </c>
      <c r="D1296" t="s">
        <v>40</v>
      </c>
      <c r="E1296" s="3" t="str">
        <f>HYPERLINK("http://www.otzar.org/book.asp?146316","מצות כתיבת ספר תורה בזמננו")</f>
        <v>מצות כתיבת ספר תורה בזמננו</v>
      </c>
    </row>
    <row r="1297" spans="1:5" x14ac:dyDescent="0.2">
      <c r="A1297" t="s">
        <v>2176</v>
      </c>
      <c r="B1297" t="s">
        <v>2177</v>
      </c>
      <c r="C1297" t="s">
        <v>142</v>
      </c>
      <c r="D1297" t="s">
        <v>12</v>
      </c>
      <c r="E1297" s="3" t="str">
        <f>HYPERLINK("http://www.otzar.org/book.asp?618904","מציץ מן החרכים")</f>
        <v>מציץ מן החרכים</v>
      </c>
    </row>
    <row r="1298" spans="1:5" x14ac:dyDescent="0.2">
      <c r="A1298" t="s">
        <v>2178</v>
      </c>
      <c r="B1298" t="s">
        <v>280</v>
      </c>
      <c r="C1298" t="s">
        <v>47</v>
      </c>
      <c r="D1298" t="s">
        <v>12</v>
      </c>
      <c r="E1298" s="3" t="str">
        <f>HYPERLINK("http://www.otzar.org/book.asp?141657","מצעד האחדות")</f>
        <v>מצעד האחדות</v>
      </c>
    </row>
    <row r="1299" spans="1:5" x14ac:dyDescent="0.2">
      <c r="A1299" t="s">
        <v>2179</v>
      </c>
      <c r="B1299" t="s">
        <v>1167</v>
      </c>
      <c r="C1299" t="s">
        <v>191</v>
      </c>
      <c r="E1299" s="3" t="str">
        <f>HYPERLINK("http://www.otzar.org/book.asp?85201","מצרף העבודה - א")</f>
        <v>מצרף העבודה - א</v>
      </c>
    </row>
    <row r="1300" spans="1:5" x14ac:dyDescent="0.2">
      <c r="A1300" t="s">
        <v>2180</v>
      </c>
      <c r="B1300" t="s">
        <v>2181</v>
      </c>
      <c r="C1300" t="s">
        <v>18</v>
      </c>
      <c r="D1300" t="s">
        <v>8</v>
      </c>
      <c r="E1300" s="3" t="str">
        <f>HYPERLINK("http://www.otzar.org/book.asp?141660","מקדש ישראל")</f>
        <v>מקדש ישראל</v>
      </c>
    </row>
    <row r="1301" spans="1:5" x14ac:dyDescent="0.2">
      <c r="A1301" t="s">
        <v>2182</v>
      </c>
      <c r="B1301" t="s">
        <v>2183</v>
      </c>
      <c r="C1301" t="s">
        <v>213</v>
      </c>
      <c r="D1301" t="s">
        <v>12</v>
      </c>
      <c r="E1301" s="3" t="str">
        <f>HYPERLINK("http://www.otzar.org/book.asp?26959","מקדש מלך - 4 כר'")</f>
        <v>מקדש מלך - 4 כר'</v>
      </c>
    </row>
    <row r="1302" spans="1:5" x14ac:dyDescent="0.2">
      <c r="A1302" t="s">
        <v>2184</v>
      </c>
      <c r="B1302" t="s">
        <v>108</v>
      </c>
      <c r="C1302" t="s">
        <v>65</v>
      </c>
      <c r="D1302" t="s">
        <v>40</v>
      </c>
      <c r="E1302" s="3" t="str">
        <f>HYPERLINK("http://www.otzar.org/book.asp?27497","מקדש מלך")</f>
        <v>מקדש מלך</v>
      </c>
    </row>
    <row r="1303" spans="1:5" x14ac:dyDescent="0.2">
      <c r="A1303" t="s">
        <v>2185</v>
      </c>
      <c r="B1303" t="s">
        <v>1271</v>
      </c>
      <c r="C1303" t="s">
        <v>44</v>
      </c>
      <c r="D1303" t="s">
        <v>857</v>
      </c>
      <c r="E1303" s="3" t="str">
        <f>HYPERLINK("http://www.otzar.org/book.asp?193152","מקדשי שמך - סוד הקדיש")</f>
        <v>מקדשי שמך - סוד הקדיש</v>
      </c>
    </row>
    <row r="1304" spans="1:5" x14ac:dyDescent="0.2">
      <c r="A1304" t="s">
        <v>2186</v>
      </c>
      <c r="B1304" t="s">
        <v>2187</v>
      </c>
      <c r="C1304" t="s">
        <v>73</v>
      </c>
      <c r="D1304" t="s">
        <v>166</v>
      </c>
      <c r="E1304" s="3" t="str">
        <f>HYPERLINK("http://www.otzar.org/book.asp?180777","מקוה ע""ג האוצר")</f>
        <v>מקוה ע"ג האוצר</v>
      </c>
    </row>
    <row r="1305" spans="1:5" x14ac:dyDescent="0.2">
      <c r="A1305" t="s">
        <v>2188</v>
      </c>
      <c r="B1305" t="s">
        <v>2189</v>
      </c>
      <c r="C1305" t="s">
        <v>76</v>
      </c>
      <c r="D1305" t="s">
        <v>19</v>
      </c>
      <c r="E1305" s="3" t="str">
        <f>HYPERLINK("http://www.otzar.org/book.asp?146558","מקורות וביאורים בספר המנהגים")</f>
        <v>מקורות וביאורים בספר המנהגים</v>
      </c>
    </row>
    <row r="1306" spans="1:5" x14ac:dyDescent="0.2">
      <c r="A1306" t="s">
        <v>2190</v>
      </c>
      <c r="B1306" t="s">
        <v>2191</v>
      </c>
      <c r="C1306" t="s">
        <v>82</v>
      </c>
      <c r="D1306" t="s">
        <v>12</v>
      </c>
      <c r="E1306" s="3" t="str">
        <f>HYPERLINK("http://www.otzar.org/book.asp?196245","מקשיבים לפרשה - ב")</f>
        <v>מקשיבים לפרשה - ב</v>
      </c>
    </row>
    <row r="1307" spans="1:5" x14ac:dyDescent="0.2">
      <c r="A1307" t="s">
        <v>2192</v>
      </c>
      <c r="B1307" t="s">
        <v>2193</v>
      </c>
      <c r="C1307" t="s">
        <v>350</v>
      </c>
      <c r="D1307" t="s">
        <v>80</v>
      </c>
      <c r="E1307" s="3" t="str">
        <f>HYPERLINK("http://www.otzar.org/book.asp?607641","מרא דאתרא")</f>
        <v>מרא דאתרא</v>
      </c>
    </row>
    <row r="1308" spans="1:5" x14ac:dyDescent="0.2">
      <c r="A1308" t="s">
        <v>2194</v>
      </c>
      <c r="B1308" t="s">
        <v>30</v>
      </c>
      <c r="C1308" t="s">
        <v>276</v>
      </c>
      <c r="D1308" t="s">
        <v>8</v>
      </c>
      <c r="E1308" s="3" t="str">
        <f>HYPERLINK("http://www.otzar.org/book.asp?146556","מראה מקומות הגהות והערות קצרות - לספר של בינונים")</f>
        <v>מראה מקומות הגהות והערות קצרות - לספר של בינונים</v>
      </c>
    </row>
    <row r="1309" spans="1:5" x14ac:dyDescent="0.2">
      <c r="A1309" t="s">
        <v>2195</v>
      </c>
      <c r="B1309" t="s">
        <v>30</v>
      </c>
      <c r="C1309" t="s">
        <v>276</v>
      </c>
      <c r="D1309" t="s">
        <v>8</v>
      </c>
      <c r="E1309" s="3" t="str">
        <f>HYPERLINK("http://www.otzar.org/book.asp?27337","מראה מקומות, הגהות והערות קצרות - 8 כר'")</f>
        <v>מראה מקומות, הגהות והערות קצרות - 8 כר'</v>
      </c>
    </row>
    <row r="1310" spans="1:5" x14ac:dyDescent="0.2">
      <c r="A1310" t="s">
        <v>2196</v>
      </c>
      <c r="B1310" t="s">
        <v>1844</v>
      </c>
      <c r="C1310" t="s">
        <v>448</v>
      </c>
      <c r="D1310" t="s">
        <v>8</v>
      </c>
      <c r="E1310" s="3" t="str">
        <f>HYPERLINK("http://www.otzar.org/book.asp?141531","מראי מקומות וציונים לסדר ברכת הנהנין של אדמו""ר הזקן")</f>
        <v>מראי מקומות וציונים לסדר ברכת הנהנין של אדמו"ר הזקן</v>
      </c>
    </row>
    <row r="1311" spans="1:5" x14ac:dyDescent="0.2">
      <c r="A1311" t="s">
        <v>2197</v>
      </c>
      <c r="B1311" t="s">
        <v>918</v>
      </c>
      <c r="C1311" t="s">
        <v>115</v>
      </c>
      <c r="D1311" t="s">
        <v>8</v>
      </c>
      <c r="E1311" s="3" t="str">
        <f>HYPERLINK("http://www.otzar.org/book.asp?141372","מראי מקומות וציונים לשו""ע אדמו""ר הזקן - או""ח")</f>
        <v>מראי מקומות וציונים לשו"ע אדמו"ר הזקן - או"ח</v>
      </c>
    </row>
    <row r="1312" spans="1:5" x14ac:dyDescent="0.2">
      <c r="A1312" t="s">
        <v>2198</v>
      </c>
      <c r="B1312" t="s">
        <v>1844</v>
      </c>
      <c r="C1312" t="s">
        <v>115</v>
      </c>
      <c r="D1312" t="s">
        <v>8</v>
      </c>
      <c r="E1312" s="3" t="str">
        <f>HYPERLINK("http://www.otzar.org/book.asp?141364","מראי מקומות וציונים לשו""ע אדמו""ר הזקן - יו""ד")</f>
        <v>מראי מקומות וציונים לשו"ע אדמו"ר הזקן - יו"ד</v>
      </c>
    </row>
    <row r="1313" spans="1:5" x14ac:dyDescent="0.2">
      <c r="A1313" t="s">
        <v>2199</v>
      </c>
      <c r="B1313" t="s">
        <v>2200</v>
      </c>
      <c r="C1313" t="s">
        <v>305</v>
      </c>
      <c r="D1313" t="s">
        <v>8</v>
      </c>
      <c r="E1313" s="3" t="str">
        <f>HYPERLINK("http://www.otzar.org/book.asp?141522","מראי מקומות וציונים לשו""ע אדמו""ר הזקן - 2 כר'")</f>
        <v>מראי מקומות וציונים לשו"ע אדמו"ר הזקן - 2 כר'</v>
      </c>
    </row>
    <row r="1314" spans="1:5" x14ac:dyDescent="0.2">
      <c r="A1314" t="s">
        <v>2201</v>
      </c>
      <c r="B1314" t="s">
        <v>2202</v>
      </c>
      <c r="C1314" t="s">
        <v>49</v>
      </c>
      <c r="D1314" t="s">
        <v>8</v>
      </c>
      <c r="E1314" s="3" t="str">
        <f>HYPERLINK("http://www.otzar.org/book.asp?8456","מראי מקומות לספר משנה תורה - 2 כר'")</f>
        <v>מראי מקומות לספר משנה תורה - 2 כר'</v>
      </c>
    </row>
    <row r="1315" spans="1:5" x14ac:dyDescent="0.2">
      <c r="A1315" t="s">
        <v>2203</v>
      </c>
      <c r="B1315" t="s">
        <v>1690</v>
      </c>
      <c r="C1315" t="s">
        <v>49</v>
      </c>
      <c r="D1315" t="s">
        <v>8</v>
      </c>
      <c r="E1315" s="3" t="str">
        <f>HYPERLINK("http://www.otzar.org/book.asp?27395","מראי מקומות לספר משנה תורה - ספר מילואים")</f>
        <v>מראי מקומות לספר משנה תורה - ספר מילואים</v>
      </c>
    </row>
    <row r="1316" spans="1:5" x14ac:dyDescent="0.2">
      <c r="A1316" t="s">
        <v>2204</v>
      </c>
      <c r="B1316" t="s">
        <v>956</v>
      </c>
      <c r="C1316" t="s">
        <v>47</v>
      </c>
      <c r="D1316" t="s">
        <v>8</v>
      </c>
      <c r="E1316" s="3" t="str">
        <f>HYPERLINK("http://www.otzar.org/book.asp?141465","מראי מקומות לפסוקים מחז""ל וכו' אשר בספר התניא")</f>
        <v>מראי מקומות לפסוקים מחז"ל וכו' אשר בספר התניא</v>
      </c>
    </row>
    <row r="1317" spans="1:5" x14ac:dyDescent="0.2">
      <c r="A1317" t="s">
        <v>2205</v>
      </c>
      <c r="B1317" t="s">
        <v>1844</v>
      </c>
      <c r="C1317" t="s">
        <v>1019</v>
      </c>
      <c r="D1317" t="s">
        <v>12</v>
      </c>
      <c r="E1317" s="3" t="str">
        <f>HYPERLINK("http://www.otzar.org/book.asp?143263","מראי מקומות לקונטרס אחרון")</f>
        <v>מראי מקומות לקונטרס אחרון</v>
      </c>
    </row>
    <row r="1318" spans="1:5" x14ac:dyDescent="0.2">
      <c r="A1318" t="s">
        <v>2206</v>
      </c>
      <c r="B1318" t="s">
        <v>2207</v>
      </c>
      <c r="C1318" t="s">
        <v>82</v>
      </c>
      <c r="D1318" t="s">
        <v>1179</v>
      </c>
      <c r="E1318" s="3" t="str">
        <f>HYPERLINK("http://www.otzar.org/book.asp?607882","מרבים בשמחה")</f>
        <v>מרבים בשמחה</v>
      </c>
    </row>
    <row r="1319" spans="1:5" x14ac:dyDescent="0.2">
      <c r="A1319" t="s">
        <v>2208</v>
      </c>
      <c r="B1319" t="s">
        <v>336</v>
      </c>
      <c r="C1319" t="s">
        <v>148</v>
      </c>
      <c r="D1319" t="s">
        <v>323</v>
      </c>
      <c r="E1319" s="3" t="str">
        <f>HYPERLINK("http://www.otzar.org/book.asp?28832","מרומם ואיש עליה")</f>
        <v>מרומם ואיש עליה</v>
      </c>
    </row>
    <row r="1320" spans="1:5" x14ac:dyDescent="0.2">
      <c r="A1320" t="s">
        <v>2209</v>
      </c>
      <c r="B1320" t="s">
        <v>2210</v>
      </c>
      <c r="C1320" t="s">
        <v>1916</v>
      </c>
      <c r="D1320" t="s">
        <v>8</v>
      </c>
      <c r="E1320" s="3" t="str">
        <f>HYPERLINK("http://www.otzar.org/book.asp?140935","מרכז ישיבות תומכי תמימים ליובאוויטש")</f>
        <v>מרכז ישיבות תומכי תמימים ליובאוויטש</v>
      </c>
    </row>
    <row r="1321" spans="1:5" x14ac:dyDescent="0.2">
      <c r="A1321" t="s">
        <v>2211</v>
      </c>
      <c r="B1321" t="s">
        <v>1466</v>
      </c>
      <c r="C1321" t="s">
        <v>18</v>
      </c>
      <c r="D1321" t="s">
        <v>12</v>
      </c>
      <c r="E1321" s="3" t="str">
        <f>HYPERLINK("http://www.otzar.org/book.asp?26945","משבחי רבי")</f>
        <v>משבחי רבי</v>
      </c>
    </row>
    <row r="1322" spans="1:5" x14ac:dyDescent="0.2">
      <c r="A1322" t="s">
        <v>2212</v>
      </c>
      <c r="B1322" t="s">
        <v>2213</v>
      </c>
      <c r="C1322" t="s">
        <v>31</v>
      </c>
      <c r="D1322" t="s">
        <v>166</v>
      </c>
      <c r="E1322" s="3" t="str">
        <f>HYPERLINK("http://www.otzar.org/book.asp?614820","משיח שבכל דור")</f>
        <v>משיח שבכל דור</v>
      </c>
    </row>
    <row r="1323" spans="1:5" x14ac:dyDescent="0.2">
      <c r="A1323" t="s">
        <v>2214</v>
      </c>
      <c r="B1323" t="s">
        <v>30</v>
      </c>
      <c r="C1323" t="s">
        <v>76</v>
      </c>
      <c r="D1323" t="s">
        <v>8</v>
      </c>
      <c r="E1323" s="3" t="str">
        <f>HYPERLINK("http://www.otzar.org/book.asp?146524","משיחות כ""ק אדמו""ר שליט""א")</f>
        <v>משיחות כ"ק אדמו"ר שליט"א</v>
      </c>
    </row>
    <row r="1324" spans="1:5" x14ac:dyDescent="0.2">
      <c r="A1324" t="s">
        <v>2215</v>
      </c>
      <c r="B1324" t="s">
        <v>30</v>
      </c>
      <c r="C1324" t="s">
        <v>82</v>
      </c>
      <c r="D1324" t="s">
        <v>1942</v>
      </c>
      <c r="E1324" s="3" t="str">
        <f>HYPERLINK("http://www.otzar.org/book.asp?630308","משכן וכליו ע""פ חסידות")</f>
        <v>משכן וכליו ע"פ חסידות</v>
      </c>
    </row>
    <row r="1325" spans="1:5" x14ac:dyDescent="0.2">
      <c r="A1325" t="s">
        <v>2216</v>
      </c>
      <c r="B1325" t="s">
        <v>2217</v>
      </c>
      <c r="C1325" t="s">
        <v>142</v>
      </c>
      <c r="D1325" t="s">
        <v>240</v>
      </c>
      <c r="E1325" s="3" t="str">
        <f>HYPERLINK("http://www.otzar.org/book.asp?616782","משל הקדמוני - סוגית תלמוד תורה")</f>
        <v>משל הקדמוני - סוגית תלמוד תורה</v>
      </c>
    </row>
    <row r="1326" spans="1:5" x14ac:dyDescent="0.2">
      <c r="A1326" t="s">
        <v>2218</v>
      </c>
      <c r="B1326" t="s">
        <v>2219</v>
      </c>
      <c r="C1326" t="s">
        <v>76</v>
      </c>
      <c r="D1326" t="s">
        <v>19</v>
      </c>
      <c r="E1326" s="3" t="str">
        <f>HYPERLINK("http://www.otzar.org/book.asp?27621","משלי חב""ד")</f>
        <v>משלי חב"ד</v>
      </c>
    </row>
    <row r="1327" spans="1:5" x14ac:dyDescent="0.2">
      <c r="A1327" t="s">
        <v>2220</v>
      </c>
      <c r="B1327" t="s">
        <v>30</v>
      </c>
      <c r="C1327" t="s">
        <v>165</v>
      </c>
      <c r="D1327" t="s">
        <v>19</v>
      </c>
      <c r="E1327" s="3" t="str">
        <f>HYPERLINK("http://www.otzar.org/book.asp?28009","משלי רבי")</f>
        <v>משלי רבי</v>
      </c>
    </row>
    <row r="1328" spans="1:5" x14ac:dyDescent="0.2">
      <c r="A1328" t="s">
        <v>2221</v>
      </c>
      <c r="B1328" t="s">
        <v>2222</v>
      </c>
      <c r="C1328" t="s">
        <v>44</v>
      </c>
      <c r="D1328" t="s">
        <v>12</v>
      </c>
      <c r="E1328" s="3" t="str">
        <f>HYPERLINK("http://www.otzar.org/book.asp?173488","משלים בחסידות - 3 כר'")</f>
        <v>משלים בחסידות - 3 כר'</v>
      </c>
    </row>
    <row r="1329" spans="1:5" x14ac:dyDescent="0.2">
      <c r="A1329" t="s">
        <v>2223</v>
      </c>
      <c r="B1329" t="s">
        <v>1418</v>
      </c>
      <c r="C1329" t="s">
        <v>350</v>
      </c>
      <c r="D1329" t="s">
        <v>19</v>
      </c>
      <c r="E1329" s="3" t="str">
        <f>HYPERLINK("http://www.otzar.org/book.asp?607754","משמיע שלום")</f>
        <v>משמיע שלום</v>
      </c>
    </row>
    <row r="1330" spans="1:5" x14ac:dyDescent="0.2">
      <c r="A1330" t="s">
        <v>2224</v>
      </c>
      <c r="B1330" t="s">
        <v>2225</v>
      </c>
      <c r="C1330" t="s">
        <v>201</v>
      </c>
      <c r="D1330" t="s">
        <v>19</v>
      </c>
      <c r="E1330" s="3" t="str">
        <f>HYPERLINK("http://www.otzar.org/book.asp?146506","משנה אורה")</f>
        <v>משנה אורה</v>
      </c>
    </row>
    <row r="1331" spans="1:5" x14ac:dyDescent="0.2">
      <c r="A1331" t="s">
        <v>2226</v>
      </c>
      <c r="B1331" t="s">
        <v>2227</v>
      </c>
      <c r="C1331" t="s">
        <v>165</v>
      </c>
      <c r="D1331" t="s">
        <v>8</v>
      </c>
      <c r="E1331" s="3" t="str">
        <f>HYPERLINK("http://www.otzar.org/book.asp?26952","משנה תורה (עם ביאור קצר) - הלכות תלמוד תורה")</f>
        <v>משנה תורה (עם ביאור קצר) - הלכות תלמוד תורה</v>
      </c>
    </row>
    <row r="1332" spans="1:5" x14ac:dyDescent="0.2">
      <c r="A1332" t="s">
        <v>2228</v>
      </c>
      <c r="B1332" t="s">
        <v>30</v>
      </c>
      <c r="C1332" t="s">
        <v>165</v>
      </c>
      <c r="D1332" t="s">
        <v>40</v>
      </c>
      <c r="E1332" s="3" t="str">
        <f>HYPERLINK("http://www.otzar.org/book.asp?27088","משנה תורה לרמב""ם עם חידושים וביאורים - א (מדע)")</f>
        <v>משנה תורה לרמב"ם עם חידושים וביאורים - א (מדע)</v>
      </c>
    </row>
    <row r="1333" spans="1:5" x14ac:dyDescent="0.2">
      <c r="A1333" t="s">
        <v>2229</v>
      </c>
      <c r="B1333" t="s">
        <v>2230</v>
      </c>
      <c r="C1333" t="s">
        <v>2231</v>
      </c>
      <c r="D1333" t="s">
        <v>26</v>
      </c>
      <c r="E1333" s="3" t="str">
        <f>HYPERLINK("http://www.otzar.org/book.asp?20299","משנת יואל")</f>
        <v>משנת יואל</v>
      </c>
    </row>
    <row r="1334" spans="1:5" x14ac:dyDescent="0.2">
      <c r="A1334" t="s">
        <v>2232</v>
      </c>
      <c r="B1334" t="s">
        <v>704</v>
      </c>
      <c r="C1334" t="s">
        <v>54</v>
      </c>
      <c r="D1334" t="s">
        <v>556</v>
      </c>
      <c r="E1334" s="3" t="str">
        <f>HYPERLINK("http://www.otzar.org/book.asp?169916","משנתו של הרבי מליובאוויטש")</f>
        <v>משנתו של הרבי מליובאוויטש</v>
      </c>
    </row>
    <row r="1335" spans="1:5" x14ac:dyDescent="0.2">
      <c r="A1335" t="s">
        <v>2233</v>
      </c>
      <c r="B1335" t="s">
        <v>2234</v>
      </c>
      <c r="C1335" t="s">
        <v>2235</v>
      </c>
      <c r="D1335" t="s">
        <v>2236</v>
      </c>
      <c r="E1335" s="3" t="str">
        <f>HYPERLINK("http://www.otzar.org/book.asp?20301","משענת משה")</f>
        <v>משענת משה</v>
      </c>
    </row>
    <row r="1336" spans="1:5" x14ac:dyDescent="0.2">
      <c r="A1336" t="s">
        <v>2237</v>
      </c>
      <c r="B1336" t="s">
        <v>17</v>
      </c>
      <c r="C1336" t="s">
        <v>39</v>
      </c>
      <c r="D1336" t="s">
        <v>19</v>
      </c>
      <c r="E1336" s="3" t="str">
        <f>HYPERLINK("http://www.otzar.org/book.asp?141587","משפט הספרים - דידן נצח")</f>
        <v>משפט הספרים - דידן נצח</v>
      </c>
    </row>
    <row r="1337" spans="1:5" x14ac:dyDescent="0.2">
      <c r="A1337" t="s">
        <v>2238</v>
      </c>
      <c r="B1337" t="s">
        <v>479</v>
      </c>
      <c r="C1337" t="s">
        <v>350</v>
      </c>
      <c r="D1337" t="s">
        <v>12</v>
      </c>
      <c r="E1337" s="3" t="str">
        <f>HYPERLINK("http://www.otzar.org/book.asp?607859","משפט סעדיה")</f>
        <v>משפט סעדיה</v>
      </c>
    </row>
    <row r="1338" spans="1:5" x14ac:dyDescent="0.2">
      <c r="A1338" t="s">
        <v>2239</v>
      </c>
      <c r="B1338" t="s">
        <v>30</v>
      </c>
      <c r="C1338" t="s">
        <v>52</v>
      </c>
      <c r="D1338" t="s">
        <v>8</v>
      </c>
      <c r="E1338" s="3" t="str">
        <f>HYPERLINK("http://www.otzar.org/book.asp?29334","משקה המשמח")</f>
        <v>משקה המשמח</v>
      </c>
    </row>
    <row r="1339" spans="1:5" x14ac:dyDescent="0.2">
      <c r="A1339" t="s">
        <v>2240</v>
      </c>
      <c r="B1339" t="s">
        <v>30</v>
      </c>
      <c r="C1339" t="s">
        <v>49</v>
      </c>
      <c r="D1339" t="s">
        <v>8</v>
      </c>
      <c r="E1339" s="3" t="str">
        <f>HYPERLINK("http://www.otzar.org/book.asp?146517","משקה")</f>
        <v>משקה</v>
      </c>
    </row>
    <row r="1340" spans="1:5" x14ac:dyDescent="0.2">
      <c r="A1340" t="s">
        <v>2241</v>
      </c>
      <c r="B1340" t="s">
        <v>2242</v>
      </c>
      <c r="C1340" t="s">
        <v>73</v>
      </c>
      <c r="D1340" t="s">
        <v>19</v>
      </c>
      <c r="E1340" s="3" t="str">
        <f>HYPERLINK("http://www.otzar.org/book.asp?181121","מתוך תורתו של הרבי 54 שיחות")</f>
        <v>מתוך תורתו של הרבי 54 שיחות</v>
      </c>
    </row>
    <row r="1341" spans="1:5" x14ac:dyDescent="0.2">
      <c r="A1341" t="s">
        <v>2243</v>
      </c>
      <c r="B1341" t="s">
        <v>2244</v>
      </c>
      <c r="C1341" t="s">
        <v>86</v>
      </c>
      <c r="D1341" t="s">
        <v>12</v>
      </c>
      <c r="E1341" s="3" t="str">
        <f>HYPERLINK("http://www.otzar.org/book.asp?142728","מתחילים תניא - פרקים א-יב")</f>
        <v>מתחילים תניא - פרקים א-יב</v>
      </c>
    </row>
    <row r="1342" spans="1:5" x14ac:dyDescent="0.2">
      <c r="A1342" t="s">
        <v>2245</v>
      </c>
      <c r="B1342" t="s">
        <v>2246</v>
      </c>
      <c r="C1342" t="s">
        <v>44</v>
      </c>
      <c r="D1342" t="s">
        <v>40</v>
      </c>
      <c r="E1342" s="3" t="str">
        <f>HYPERLINK("http://www.otzar.org/book.asp?181110","מתן בסתר")</f>
        <v>מתן בסתר</v>
      </c>
    </row>
    <row r="1343" spans="1:5" x14ac:dyDescent="0.2">
      <c r="A1343" t="s">
        <v>2247</v>
      </c>
      <c r="B1343" t="s">
        <v>2248</v>
      </c>
      <c r="C1343" t="s">
        <v>86</v>
      </c>
      <c r="E1343" s="3" t="str">
        <f>HYPERLINK("http://www.otzar.org/book.asp?145419","מתפלה לגאולה")</f>
        <v>מתפלה לגאולה</v>
      </c>
    </row>
    <row r="1344" spans="1:5" x14ac:dyDescent="0.2">
      <c r="A1344" t="s">
        <v>2249</v>
      </c>
      <c r="B1344" t="s">
        <v>2250</v>
      </c>
      <c r="C1344" t="s">
        <v>2251</v>
      </c>
      <c r="D1344" t="s">
        <v>26</v>
      </c>
      <c r="E1344" s="3" t="str">
        <f>HYPERLINK("http://www.otzar.org/book.asp?7896","נאות דשא - 3 כר'")</f>
        <v>נאות דשא - 3 כר'</v>
      </c>
    </row>
    <row r="1345" spans="1:5" x14ac:dyDescent="0.2">
      <c r="A1345" t="s">
        <v>2252</v>
      </c>
      <c r="B1345" t="s">
        <v>2253</v>
      </c>
      <c r="C1345" t="s">
        <v>49</v>
      </c>
      <c r="D1345" t="s">
        <v>40</v>
      </c>
      <c r="E1345" s="3" t="str">
        <f>HYPERLINK("http://www.otzar.org/book.asp?145946","נגונים חסידיים (חב""ד)")</f>
        <v>נגונים חסידיים (חב"ד)</v>
      </c>
    </row>
    <row r="1346" spans="1:5" x14ac:dyDescent="0.2">
      <c r="A1346" t="s">
        <v>2254</v>
      </c>
      <c r="B1346" t="s">
        <v>2255</v>
      </c>
      <c r="C1346" t="s">
        <v>34</v>
      </c>
      <c r="D1346" t="s">
        <v>1398</v>
      </c>
      <c r="E1346" s="3" t="str">
        <f>HYPERLINK("http://www.otzar.org/book.asp?153358","נגינה לאור החסידות")</f>
        <v>נגינה לאור החסידות</v>
      </c>
    </row>
    <row r="1347" spans="1:5" x14ac:dyDescent="0.2">
      <c r="A1347" t="s">
        <v>2256</v>
      </c>
      <c r="B1347" t="s">
        <v>348</v>
      </c>
      <c r="C1347" t="s">
        <v>11</v>
      </c>
      <c r="D1347" t="s">
        <v>19</v>
      </c>
      <c r="E1347" s="3" t="str">
        <f>HYPERLINK("http://www.otzar.org/book.asp?160829","נודע בשיעורים")</f>
        <v>נודע בשיעורים</v>
      </c>
    </row>
    <row r="1348" spans="1:5" x14ac:dyDescent="0.2">
      <c r="A1348" t="s">
        <v>2257</v>
      </c>
      <c r="B1348" t="s">
        <v>2257</v>
      </c>
      <c r="C1348" t="s">
        <v>65</v>
      </c>
      <c r="D1348" t="s">
        <v>2258</v>
      </c>
      <c r="E1348" s="3" t="str">
        <f>HYPERLINK("http://www.otzar.org/book.asp?27728","נוה המלך")</f>
        <v>נוה המלך</v>
      </c>
    </row>
    <row r="1349" spans="1:5" x14ac:dyDescent="0.2">
      <c r="A1349" t="s">
        <v>2259</v>
      </c>
      <c r="B1349" t="s">
        <v>2260</v>
      </c>
      <c r="C1349" t="s">
        <v>34</v>
      </c>
      <c r="D1349" t="s">
        <v>332</v>
      </c>
      <c r="E1349" s="3" t="str">
        <f>HYPERLINK("http://www.otzar.org/book.asp?614955","נוסח התנאים - נוסח חב""ד")</f>
        <v>נוסח התנאים - נוסח חב"ד</v>
      </c>
    </row>
    <row r="1350" spans="1:5" x14ac:dyDescent="0.2">
      <c r="A1350" t="s">
        <v>2261</v>
      </c>
      <c r="B1350" t="s">
        <v>2262</v>
      </c>
      <c r="C1350" t="s">
        <v>18</v>
      </c>
      <c r="D1350" t="s">
        <v>8</v>
      </c>
      <c r="E1350" s="3" t="str">
        <f>HYPERLINK("http://www.otzar.org/book.asp?146322","נוסעים לרבי - חוברת השלמה")</f>
        <v>נוסעים לרבי - חוברת השלמה</v>
      </c>
    </row>
    <row r="1351" spans="1:5" x14ac:dyDescent="0.2">
      <c r="A1351" t="s">
        <v>2263</v>
      </c>
      <c r="B1351" t="s">
        <v>2264</v>
      </c>
      <c r="C1351" t="s">
        <v>142</v>
      </c>
      <c r="D1351" t="s">
        <v>2265</v>
      </c>
      <c r="E1351" s="3" t="str">
        <f>HYPERLINK("http://www.otzar.org/book.asp?613092","נזר הבארדיטשעווער")</f>
        <v>נזר הבארדיטשעווער</v>
      </c>
    </row>
    <row r="1352" spans="1:5" x14ac:dyDescent="0.2">
      <c r="A1352" t="s">
        <v>2266</v>
      </c>
      <c r="B1352" t="s">
        <v>303</v>
      </c>
      <c r="C1352" t="s">
        <v>183</v>
      </c>
      <c r="D1352" t="s">
        <v>240</v>
      </c>
      <c r="E1352" s="3" t="str">
        <f>HYPERLINK("http://www.otzar.org/book.asp?27112","נזר הבעל שם טוב")</f>
        <v>נזר הבעל שם טוב</v>
      </c>
    </row>
    <row r="1353" spans="1:5" x14ac:dyDescent="0.2">
      <c r="A1353" t="s">
        <v>2267</v>
      </c>
      <c r="B1353" t="s">
        <v>303</v>
      </c>
      <c r="C1353" t="s">
        <v>183</v>
      </c>
      <c r="D1353" t="s">
        <v>240</v>
      </c>
      <c r="E1353" s="3" t="str">
        <f>HYPERLINK("http://www.otzar.org/book.asp?27111","נזר המגיד ממעזריטש")</f>
        <v>נזר המגיד ממעזריטש</v>
      </c>
    </row>
    <row r="1354" spans="1:5" x14ac:dyDescent="0.2">
      <c r="A1354" t="s">
        <v>2268</v>
      </c>
      <c r="B1354" t="s">
        <v>303</v>
      </c>
      <c r="C1354" t="s">
        <v>39</v>
      </c>
      <c r="D1354" t="s">
        <v>240</v>
      </c>
      <c r="E1354" s="3" t="str">
        <f>HYPERLINK("http://www.otzar.org/book.asp?53089","נזר התניא - 7 כר'")</f>
        <v>נזר התניא - 7 כר'</v>
      </c>
    </row>
    <row r="1355" spans="1:5" x14ac:dyDescent="0.2">
      <c r="A1355" t="s">
        <v>559</v>
      </c>
      <c r="B1355" t="s">
        <v>33</v>
      </c>
      <c r="C1355" t="s">
        <v>86</v>
      </c>
      <c r="D1355" t="s">
        <v>12</v>
      </c>
      <c r="E1355" s="3" t="str">
        <f>HYPERLINK("http://www.otzar.org/book.asp?175626","נחלת הר חב""ד")</f>
        <v>נחלת הר חב"ד</v>
      </c>
    </row>
    <row r="1356" spans="1:5" x14ac:dyDescent="0.2">
      <c r="A1356" t="s">
        <v>2269</v>
      </c>
      <c r="B1356" t="s">
        <v>1209</v>
      </c>
      <c r="C1356" t="s">
        <v>67</v>
      </c>
      <c r="D1356" t="s">
        <v>19</v>
      </c>
      <c r="E1356" s="3" t="str">
        <f>HYPERLINK("http://www.otzar.org/book.asp?160878","נטע שעשועים")</f>
        <v>נטע שעשועים</v>
      </c>
    </row>
    <row r="1357" spans="1:5" x14ac:dyDescent="0.2">
      <c r="A1357" t="s">
        <v>2270</v>
      </c>
      <c r="B1357" t="s">
        <v>2255</v>
      </c>
      <c r="C1357" t="s">
        <v>82</v>
      </c>
      <c r="D1357" t="s">
        <v>12</v>
      </c>
      <c r="E1357" s="3" t="str">
        <f>HYPERLINK("http://www.otzar.org/book.asp?196243","ניגון ארבע בבות")</f>
        <v>ניגון ארבע בבות</v>
      </c>
    </row>
    <row r="1358" spans="1:5" x14ac:dyDescent="0.2">
      <c r="A1358" t="s">
        <v>2271</v>
      </c>
      <c r="B1358" t="s">
        <v>2272</v>
      </c>
      <c r="C1358" t="s">
        <v>31</v>
      </c>
      <c r="D1358" t="s">
        <v>40</v>
      </c>
      <c r="E1358" s="3" t="str">
        <f>HYPERLINK("http://www.otzar.org/book.asp?145938","ניגון ביגון")</f>
        <v>ניגון ביגון</v>
      </c>
    </row>
    <row r="1359" spans="1:5" x14ac:dyDescent="0.2">
      <c r="A1359" t="s">
        <v>2273</v>
      </c>
      <c r="B1359" t="s">
        <v>2274</v>
      </c>
      <c r="C1359" t="s">
        <v>76</v>
      </c>
      <c r="D1359" t="s">
        <v>19</v>
      </c>
      <c r="E1359" s="3" t="str">
        <f>HYPERLINK("http://www.otzar.org/book.asp?146311","ניגוני הרבי - 2 כר'")</f>
        <v>ניגוני הרבי - 2 כר'</v>
      </c>
    </row>
    <row r="1360" spans="1:5" x14ac:dyDescent="0.2">
      <c r="A1360" t="s">
        <v>2275</v>
      </c>
      <c r="B1360" t="s">
        <v>2276</v>
      </c>
      <c r="C1360" t="s">
        <v>52</v>
      </c>
      <c r="D1360" t="s">
        <v>8</v>
      </c>
      <c r="E1360" s="3" t="str">
        <f>HYPERLINK("http://www.otzar.org/book.asp?27560","ניגוני התוועדויות הרבי - 2 כר'")</f>
        <v>ניגוני התוועדויות הרבי - 2 כר'</v>
      </c>
    </row>
    <row r="1361" spans="1:5" x14ac:dyDescent="0.2">
      <c r="A1361" t="s">
        <v>2277</v>
      </c>
      <c r="B1361" t="s">
        <v>2278</v>
      </c>
      <c r="C1361" t="s">
        <v>67</v>
      </c>
      <c r="D1361" t="s">
        <v>332</v>
      </c>
      <c r="E1361" s="3" t="str">
        <f>HYPERLINK("http://www.otzar.org/book.asp?28779","ניצוצי אהרן")</f>
        <v>ניצוצי אהרן</v>
      </c>
    </row>
    <row r="1362" spans="1:5" x14ac:dyDescent="0.2">
      <c r="A1362" t="s">
        <v>2279</v>
      </c>
      <c r="B1362" t="s">
        <v>2280</v>
      </c>
      <c r="C1362" t="s">
        <v>276</v>
      </c>
      <c r="D1362" t="s">
        <v>8</v>
      </c>
      <c r="E1362" s="3" t="str">
        <f>HYPERLINK("http://www.otzar.org/book.asp?27866","ניצוצי אור")</f>
        <v>ניצוצי אור</v>
      </c>
    </row>
    <row r="1363" spans="1:5" x14ac:dyDescent="0.2">
      <c r="A1363" t="s">
        <v>2281</v>
      </c>
      <c r="B1363" t="s">
        <v>2282</v>
      </c>
      <c r="C1363" t="s">
        <v>155</v>
      </c>
      <c r="D1363" t="s">
        <v>12</v>
      </c>
      <c r="E1363" s="3" t="str">
        <f>HYPERLINK("http://www.otzar.org/book.asp?141460","נישואים אזרחיים במשנתו של הרוגוצ'ובי ז""ל")</f>
        <v>נישואים אזרחיים במשנתו של הרוגוצ'ובי ז"ל</v>
      </c>
    </row>
    <row r="1364" spans="1:5" x14ac:dyDescent="0.2">
      <c r="A1364" t="s">
        <v>2283</v>
      </c>
      <c r="B1364" t="s">
        <v>30</v>
      </c>
      <c r="C1364" t="s">
        <v>129</v>
      </c>
      <c r="D1364" t="s">
        <v>8</v>
      </c>
      <c r="E1364" s="3" t="str">
        <f>HYPERLINK("http://www.otzar.org/book.asp?27827","נלכה באורחותיו")</f>
        <v>נלכה באורחותיו</v>
      </c>
    </row>
    <row r="1365" spans="1:5" x14ac:dyDescent="0.2">
      <c r="A1365" t="s">
        <v>2284</v>
      </c>
      <c r="B1365" t="s">
        <v>30</v>
      </c>
      <c r="C1365" t="s">
        <v>70</v>
      </c>
      <c r="D1365" t="s">
        <v>12</v>
      </c>
      <c r="E1365" s="3" t="str">
        <f>HYPERLINK("http://www.otzar.org/book.asp?146200","נסיגה מן השטחים, הפסקת אש, ומיהו יהודי")</f>
        <v>נסיגה מן השטחים, הפסקת אש, ומיהו יהודי</v>
      </c>
    </row>
    <row r="1366" spans="1:5" x14ac:dyDescent="0.2">
      <c r="A1366" t="s">
        <v>2285</v>
      </c>
      <c r="B1366" t="s">
        <v>2286</v>
      </c>
      <c r="C1366" t="s">
        <v>82</v>
      </c>
      <c r="D1366" t="s">
        <v>19</v>
      </c>
      <c r="E1366" s="3" t="str">
        <f>HYPERLINK("http://www.otzar.org/book.asp?607719","נפלאות הברית")</f>
        <v>נפלאות הברית</v>
      </c>
    </row>
    <row r="1367" spans="1:5" x14ac:dyDescent="0.2">
      <c r="A1367" t="s">
        <v>2287</v>
      </c>
      <c r="B1367" t="s">
        <v>2288</v>
      </c>
      <c r="C1367" t="s">
        <v>47</v>
      </c>
      <c r="D1367" t="s">
        <v>12</v>
      </c>
      <c r="E1367" s="3" t="str">
        <f>HYPERLINK("http://www.otzar.org/book.asp?27837","נפלאות הטבע - 2 כר'")</f>
        <v>נפלאות הטבע - 2 כר'</v>
      </c>
    </row>
    <row r="1368" spans="1:5" x14ac:dyDescent="0.2">
      <c r="A1368" t="s">
        <v>2289</v>
      </c>
      <c r="B1368" t="s">
        <v>2290</v>
      </c>
      <c r="C1368" t="s">
        <v>1800</v>
      </c>
      <c r="D1368" t="s">
        <v>12</v>
      </c>
      <c r="E1368" s="3" t="str">
        <f>HYPERLINK("http://www.otzar.org/book.asp?27103","נפלאות ממש עכשו")</f>
        <v>נפלאות ממש עכשו</v>
      </c>
    </row>
    <row r="1369" spans="1:5" x14ac:dyDescent="0.2">
      <c r="A1369" t="s">
        <v>2291</v>
      </c>
      <c r="B1369" t="s">
        <v>479</v>
      </c>
      <c r="C1369" t="s">
        <v>76</v>
      </c>
      <c r="D1369" t="s">
        <v>12</v>
      </c>
      <c r="E1369" s="3" t="str">
        <f>HYPERLINK("http://www.otzar.org/book.asp?141377","נפש תחת נפש")</f>
        <v>נפש תחת נפש</v>
      </c>
    </row>
    <row r="1370" spans="1:5" x14ac:dyDescent="0.2">
      <c r="A1370" t="s">
        <v>2292</v>
      </c>
      <c r="B1370" t="s">
        <v>1345</v>
      </c>
      <c r="C1370" t="s">
        <v>82</v>
      </c>
      <c r="D1370" t="s">
        <v>80</v>
      </c>
      <c r="E1370" s="3" t="str">
        <f>HYPERLINK("http://www.otzar.org/book.asp?196256","נפשי תערוג")</f>
        <v>נפשי תערוג</v>
      </c>
    </row>
    <row r="1371" spans="1:5" x14ac:dyDescent="0.2">
      <c r="A1371" t="s">
        <v>2293</v>
      </c>
      <c r="B1371" t="s">
        <v>180</v>
      </c>
      <c r="C1371" t="s">
        <v>161</v>
      </c>
      <c r="D1371" t="s">
        <v>2294</v>
      </c>
      <c r="E1371" s="3" t="str">
        <f>HYPERLINK("http://www.otzar.org/book.asp?161301","נצר מטעי")</f>
        <v>נצר מטעי</v>
      </c>
    </row>
    <row r="1372" spans="1:5" x14ac:dyDescent="0.2">
      <c r="A1372" t="s">
        <v>2295</v>
      </c>
      <c r="B1372" t="s">
        <v>108</v>
      </c>
      <c r="C1372" t="s">
        <v>86</v>
      </c>
      <c r="D1372" t="s">
        <v>2296</v>
      </c>
      <c r="E1372" s="3" t="str">
        <f>HYPERLINK("http://www.otzar.org/book.asp?160697","נר המערבי - ב")</f>
        <v>נר המערבי - ב</v>
      </c>
    </row>
    <row r="1373" spans="1:5" x14ac:dyDescent="0.2">
      <c r="A1373" t="s">
        <v>2297</v>
      </c>
      <c r="B1373" t="s">
        <v>108</v>
      </c>
      <c r="C1373" t="s">
        <v>67</v>
      </c>
      <c r="D1373" t="s">
        <v>816</v>
      </c>
      <c r="E1373" s="3" t="str">
        <f>HYPERLINK("http://www.otzar.org/book.asp?27479","נר למאה - ח")</f>
        <v>נר למאה - ח</v>
      </c>
    </row>
    <row r="1374" spans="1:5" x14ac:dyDescent="0.2">
      <c r="A1374" t="s">
        <v>2298</v>
      </c>
      <c r="B1374" t="s">
        <v>295</v>
      </c>
      <c r="C1374" t="s">
        <v>7</v>
      </c>
      <c r="D1374" t="s">
        <v>40</v>
      </c>
      <c r="E1374" s="3" t="str">
        <f>HYPERLINK("http://www.otzar.org/book.asp?622492","נר למשיחי")</f>
        <v>נר למשיחי</v>
      </c>
    </row>
    <row r="1375" spans="1:5" x14ac:dyDescent="0.2">
      <c r="A1375" t="s">
        <v>2298</v>
      </c>
      <c r="B1375" t="s">
        <v>33</v>
      </c>
      <c r="C1375" t="s">
        <v>54</v>
      </c>
      <c r="D1375" t="s">
        <v>19</v>
      </c>
      <c r="E1375" s="3" t="str">
        <f>HYPERLINK("http://www.otzar.org/book.asp?167696","נר למשיחי")</f>
        <v>נר למשיחי</v>
      </c>
    </row>
    <row r="1376" spans="1:5" x14ac:dyDescent="0.2">
      <c r="A1376" t="s">
        <v>2299</v>
      </c>
      <c r="B1376" t="s">
        <v>43</v>
      </c>
      <c r="C1376" t="s">
        <v>39</v>
      </c>
      <c r="D1376" t="s">
        <v>40</v>
      </c>
      <c r="E1376" s="3" t="str">
        <f>HYPERLINK("http://www.otzar.org/book.asp?141692","נר מצוה &lt;טקסט&gt;")</f>
        <v>נר מצוה &lt;טקסט&gt;</v>
      </c>
    </row>
    <row r="1377" spans="1:5" x14ac:dyDescent="0.2">
      <c r="A1377" t="s">
        <v>2300</v>
      </c>
      <c r="B1377" t="s">
        <v>43</v>
      </c>
      <c r="C1377" t="s">
        <v>52</v>
      </c>
      <c r="D1377" t="s">
        <v>8</v>
      </c>
      <c r="E1377" s="3" t="str">
        <f>HYPERLINK("http://www.otzar.org/book.asp?27071","נר מצוה ותורה אור - 2 כר'")</f>
        <v>נר מצוה ותורה אור - 2 כר'</v>
      </c>
    </row>
    <row r="1378" spans="1:5" x14ac:dyDescent="0.2">
      <c r="A1378" t="s">
        <v>2301</v>
      </c>
      <c r="B1378" t="s">
        <v>2302</v>
      </c>
      <c r="C1378" t="s">
        <v>771</v>
      </c>
      <c r="D1378" t="s">
        <v>2236</v>
      </c>
      <c r="E1378" s="3" t="str">
        <f>HYPERLINK("http://www.otzar.org/book.asp?7377","נר מצוה")</f>
        <v>נר מצוה</v>
      </c>
    </row>
    <row r="1379" spans="1:5" x14ac:dyDescent="0.2">
      <c r="A1379" t="s">
        <v>2301</v>
      </c>
      <c r="B1379" t="s">
        <v>1626</v>
      </c>
      <c r="C1379" t="s">
        <v>213</v>
      </c>
      <c r="D1379" t="s">
        <v>8</v>
      </c>
      <c r="E1379" s="3" t="str">
        <f>HYPERLINK("http://www.otzar.org/book.asp?146391","נר מצוה")</f>
        <v>נר מצוה</v>
      </c>
    </row>
    <row r="1380" spans="1:5" x14ac:dyDescent="0.2">
      <c r="A1380" t="s">
        <v>2303</v>
      </c>
      <c r="B1380" t="s">
        <v>108</v>
      </c>
      <c r="C1380" t="s">
        <v>52</v>
      </c>
      <c r="D1380" t="s">
        <v>8</v>
      </c>
      <c r="E1380" s="3" t="str">
        <f>HYPERLINK("http://www.otzar.org/book.asp?141260","נראה בכבודו - 2 כר'")</f>
        <v>נראה בכבודו - 2 כר'</v>
      </c>
    </row>
    <row r="1381" spans="1:5" x14ac:dyDescent="0.2">
      <c r="A1381" t="s">
        <v>2304</v>
      </c>
      <c r="B1381" t="s">
        <v>2305</v>
      </c>
      <c r="C1381" t="s">
        <v>129</v>
      </c>
      <c r="D1381" t="s">
        <v>12</v>
      </c>
      <c r="E1381" s="3" t="str">
        <f>HYPERLINK("http://www.otzar.org/book.asp?146228","נרות להאיר - א")</f>
        <v>נרות להאיר - א</v>
      </c>
    </row>
    <row r="1382" spans="1:5" x14ac:dyDescent="0.2">
      <c r="A1382" t="s">
        <v>2306</v>
      </c>
      <c r="B1382" t="s">
        <v>2307</v>
      </c>
      <c r="C1382" t="s">
        <v>52</v>
      </c>
      <c r="D1382" t="s">
        <v>2308</v>
      </c>
      <c r="E1382" s="3" t="str">
        <f>HYPERLINK("http://www.otzar.org/book.asp?146089","נרות להאיר - 2 כר'")</f>
        <v>נרות להאיר - 2 כר'</v>
      </c>
    </row>
    <row r="1383" spans="1:5" x14ac:dyDescent="0.2">
      <c r="A1383" t="s">
        <v>2309</v>
      </c>
      <c r="B1383" t="s">
        <v>17</v>
      </c>
      <c r="C1383" t="s">
        <v>482</v>
      </c>
      <c r="D1383" t="s">
        <v>8</v>
      </c>
      <c r="E1383" s="3" t="str">
        <f>HYPERLINK("http://www.otzar.org/book.asp?145955","נרות שבת קודש - 2 כר'")</f>
        <v>נרות שבת קודש - 2 כר'</v>
      </c>
    </row>
    <row r="1384" spans="1:5" x14ac:dyDescent="0.2">
      <c r="A1384" t="s">
        <v>2310</v>
      </c>
      <c r="B1384" t="s">
        <v>1041</v>
      </c>
      <c r="C1384" t="s">
        <v>477</v>
      </c>
      <c r="D1384" t="s">
        <v>8</v>
      </c>
      <c r="E1384" s="3" t="str">
        <f>HYPERLINK("http://www.otzar.org/book.asp?146232","נשואי הנשיאים")</f>
        <v>נשואי הנשיאים</v>
      </c>
    </row>
    <row r="1385" spans="1:5" x14ac:dyDescent="0.2">
      <c r="A1385" t="s">
        <v>2311</v>
      </c>
      <c r="B1385" t="s">
        <v>2312</v>
      </c>
      <c r="C1385" t="s">
        <v>276</v>
      </c>
      <c r="D1385" t="s">
        <v>12</v>
      </c>
      <c r="E1385" s="3" t="str">
        <f>HYPERLINK("http://www.otzar.org/book.asp?27750","נשיא וחסיד")</f>
        <v>נשיא וחסיד</v>
      </c>
    </row>
    <row r="1386" spans="1:5" x14ac:dyDescent="0.2">
      <c r="A1386" t="s">
        <v>2313</v>
      </c>
      <c r="B1386" t="s">
        <v>756</v>
      </c>
      <c r="C1386" t="s">
        <v>36</v>
      </c>
      <c r="D1386" t="s">
        <v>116</v>
      </c>
      <c r="E1386" s="3" t="str">
        <f>HYPERLINK("http://www.otzar.org/book.asp?141248","נשיאי חב""ד ובני דורם")</f>
        <v>נשיאי חב"ד ובני דורם</v>
      </c>
    </row>
    <row r="1387" spans="1:5" x14ac:dyDescent="0.2">
      <c r="A1387" t="s">
        <v>2314</v>
      </c>
      <c r="B1387" t="s">
        <v>100</v>
      </c>
      <c r="C1387" t="s">
        <v>73</v>
      </c>
      <c r="D1387" t="s">
        <v>101</v>
      </c>
      <c r="E1387" s="3" t="str">
        <f>HYPERLINK("http://www.otzar.org/book.asp?193142","נשיאי חב""ד ויהדות גרוזיה")</f>
        <v>נשיאי חב"ד ויהדות גרוזיה</v>
      </c>
    </row>
    <row r="1388" spans="1:5" x14ac:dyDescent="0.2">
      <c r="A1388" t="s">
        <v>2315</v>
      </c>
      <c r="B1388" t="s">
        <v>2316</v>
      </c>
      <c r="C1388" t="s">
        <v>73</v>
      </c>
      <c r="D1388" t="s">
        <v>166</v>
      </c>
      <c r="E1388" s="3" t="str">
        <f>HYPERLINK("http://www.otzar.org/book.asp?181485","נשיאים במאסר")</f>
        <v>נשיאים במאסר</v>
      </c>
    </row>
    <row r="1389" spans="1:5" x14ac:dyDescent="0.2">
      <c r="A1389" t="s">
        <v>2317</v>
      </c>
      <c r="B1389" t="s">
        <v>1122</v>
      </c>
      <c r="C1389" t="s">
        <v>44</v>
      </c>
      <c r="D1389" t="s">
        <v>12</v>
      </c>
      <c r="E1389" s="3" t="str">
        <f>HYPERLINK("http://www.otzar.org/book.asp?603657","נשמה עם עצמה")</f>
        <v>נשמה עם עצמה</v>
      </c>
    </row>
    <row r="1390" spans="1:5" x14ac:dyDescent="0.2">
      <c r="A1390" t="s">
        <v>2318</v>
      </c>
      <c r="B1390" t="s">
        <v>2319</v>
      </c>
      <c r="C1390" t="s">
        <v>15</v>
      </c>
      <c r="D1390" t="s">
        <v>19</v>
      </c>
      <c r="E1390" s="3" t="str">
        <f>HYPERLINK("http://www.otzar.org/book.asp?616765","נתיבות איש - שערי תורה והנהגה")</f>
        <v>נתיבות איש - שערי תורה והנהגה</v>
      </c>
    </row>
    <row r="1391" spans="1:5" x14ac:dyDescent="0.2">
      <c r="A1391" t="s">
        <v>2320</v>
      </c>
      <c r="B1391" t="s">
        <v>1039</v>
      </c>
      <c r="C1391" t="s">
        <v>2107</v>
      </c>
      <c r="D1391" t="s">
        <v>40</v>
      </c>
      <c r="E1391" s="3" t="str">
        <f>HYPERLINK("http://www.otzar.org/book.asp?141338","נתיבות חיים")</f>
        <v>נתיבות חיים</v>
      </c>
    </row>
    <row r="1392" spans="1:5" x14ac:dyDescent="0.2">
      <c r="A1392" t="s">
        <v>2321</v>
      </c>
      <c r="B1392" t="s">
        <v>2322</v>
      </c>
      <c r="C1392" t="s">
        <v>86</v>
      </c>
      <c r="D1392" t="s">
        <v>816</v>
      </c>
      <c r="E1392" s="3" t="str">
        <f>HYPERLINK("http://www.otzar.org/book.asp?143592","נתיבים בשדה השליחות - 2 כר'")</f>
        <v>נתיבים בשדה השליחות - 2 כר'</v>
      </c>
    </row>
    <row r="1393" spans="1:5" x14ac:dyDescent="0.2">
      <c r="A1393" t="s">
        <v>2323</v>
      </c>
      <c r="B1393" t="s">
        <v>230</v>
      </c>
      <c r="C1393" t="s">
        <v>276</v>
      </c>
      <c r="D1393" t="s">
        <v>40</v>
      </c>
      <c r="E1393" s="3" t="str">
        <f>HYPERLINK("http://www.otzar.org/book.asp?27357","סגולת אברהם")</f>
        <v>סגולת אברהם</v>
      </c>
    </row>
    <row r="1394" spans="1:5" x14ac:dyDescent="0.2">
      <c r="A1394" t="s">
        <v>2324</v>
      </c>
      <c r="B1394" t="s">
        <v>2325</v>
      </c>
      <c r="C1394" t="s">
        <v>15</v>
      </c>
      <c r="D1394" t="s">
        <v>8</v>
      </c>
      <c r="E1394" s="3" t="str">
        <f>HYPERLINK("http://www.otzar.org/book.asp?607677","סדור ע""פ נוסח האריז""ל עם פניני החסידות - 2 כר'")</f>
        <v>סדור ע"פ נוסח האריז"ל עם פניני החסידות - 2 כר'</v>
      </c>
    </row>
    <row r="1395" spans="1:5" x14ac:dyDescent="0.2">
      <c r="A1395" t="s">
        <v>2326</v>
      </c>
      <c r="B1395" t="s">
        <v>2327</v>
      </c>
      <c r="C1395" t="s">
        <v>44</v>
      </c>
      <c r="D1395" t="s">
        <v>8</v>
      </c>
      <c r="E1395" s="3" t="str">
        <f>HYPERLINK("http://www.otzar.org/book.asp?175905","סדור עם פניני החסידות - שחרית לימי החול")</f>
        <v>סדור עם פניני החסידות - שחרית לימי החול</v>
      </c>
    </row>
    <row r="1396" spans="1:5" x14ac:dyDescent="0.2">
      <c r="A1396" t="s">
        <v>2328</v>
      </c>
      <c r="B1396" t="s">
        <v>2329</v>
      </c>
      <c r="C1396" t="s">
        <v>86</v>
      </c>
      <c r="D1396" t="s">
        <v>249</v>
      </c>
      <c r="E1396" s="3" t="str">
        <f>HYPERLINK("http://www.otzar.org/book.asp?147720","סדור שער מנחם על פי נוסח האר""י ז""ל")</f>
        <v>סדור שער מנחם על פי נוסח האר"י ז"ל</v>
      </c>
    </row>
    <row r="1397" spans="1:5" x14ac:dyDescent="0.2">
      <c r="A1397" t="s">
        <v>2330</v>
      </c>
      <c r="B1397" t="s">
        <v>2331</v>
      </c>
      <c r="C1397" t="s">
        <v>73</v>
      </c>
      <c r="D1397" t="s">
        <v>8</v>
      </c>
      <c r="E1397" s="3" t="str">
        <f>HYPERLINK("http://www.otzar.org/book.asp?181100","סדור תהלת ה' &lt;עם תרגום באנגלית&gt;")</f>
        <v>סדור תהלת ה' &lt;עם תרגום באנגלית&gt;</v>
      </c>
    </row>
    <row r="1398" spans="1:5" x14ac:dyDescent="0.2">
      <c r="A1398" t="s">
        <v>2332</v>
      </c>
      <c r="B1398" t="s">
        <v>2332</v>
      </c>
      <c r="C1398" t="s">
        <v>73</v>
      </c>
      <c r="D1398" t="s">
        <v>8</v>
      </c>
      <c r="E1398" s="3" t="str">
        <f>HYPERLINK("http://www.otzar.org/book.asp?181526","סדור תהלת ה' עם ביאור תפילה")</f>
        <v>סדור תהלת ה' עם ביאור תפילה</v>
      </c>
    </row>
    <row r="1399" spans="1:5" x14ac:dyDescent="0.2">
      <c r="A1399" t="s">
        <v>2333</v>
      </c>
      <c r="B1399" t="s">
        <v>2334</v>
      </c>
      <c r="C1399" t="s">
        <v>86</v>
      </c>
      <c r="D1399" t="s">
        <v>8</v>
      </c>
      <c r="E1399" s="3" t="str">
        <f>HYPERLINK("http://www.otzar.org/book.asp?85015","סדור תהלת ה'")</f>
        <v>סדור תהלת ה'</v>
      </c>
    </row>
    <row r="1400" spans="1:5" x14ac:dyDescent="0.2">
      <c r="A1400" t="s">
        <v>2335</v>
      </c>
      <c r="B1400" t="s">
        <v>2336</v>
      </c>
      <c r="C1400" t="s">
        <v>2337</v>
      </c>
      <c r="D1400" t="s">
        <v>92</v>
      </c>
      <c r="E1400" s="3" t="str">
        <f>HYPERLINK("http://www.otzar.org/book.asp?143259","סדר ברכות ותפלות עם תרגום אנגלי")</f>
        <v>סדר ברכות ותפלות עם תרגום אנגלי</v>
      </c>
    </row>
    <row r="1401" spans="1:5" x14ac:dyDescent="0.2">
      <c r="A1401" t="s">
        <v>2338</v>
      </c>
      <c r="B1401" t="s">
        <v>575</v>
      </c>
      <c r="C1401" t="s">
        <v>191</v>
      </c>
      <c r="D1401" t="s">
        <v>12</v>
      </c>
      <c r="E1401" s="3" t="str">
        <f>HYPERLINK("http://www.otzar.org/book.asp?160596","סדר ברכת החמה ע""פ מנהג חב""ד")</f>
        <v>סדר ברכת החמה ע"פ מנהג חב"ד</v>
      </c>
    </row>
    <row r="1402" spans="1:5" x14ac:dyDescent="0.2">
      <c r="A1402" t="s">
        <v>2339</v>
      </c>
      <c r="B1402" t="s">
        <v>2340</v>
      </c>
      <c r="C1402" t="s">
        <v>73</v>
      </c>
      <c r="D1402" t="s">
        <v>816</v>
      </c>
      <c r="E1402" s="3" t="str">
        <f>HYPERLINK("http://www.otzar.org/book.asp?181522","סדר ברכת המזון עם עיוני הסדור")</f>
        <v>סדר ברכת המזון עם עיוני הסדור</v>
      </c>
    </row>
    <row r="1403" spans="1:5" x14ac:dyDescent="0.2">
      <c r="A1403" t="s">
        <v>2341</v>
      </c>
      <c r="B1403" t="s">
        <v>1098</v>
      </c>
      <c r="C1403" t="s">
        <v>122</v>
      </c>
      <c r="D1403" t="s">
        <v>12</v>
      </c>
      <c r="E1403" s="3" t="str">
        <f>HYPERLINK("http://www.otzar.org/book.asp?26933","סדר ברכת הנהנין")</f>
        <v>סדר ברכת הנהנין</v>
      </c>
    </row>
    <row r="1404" spans="1:5" x14ac:dyDescent="0.2">
      <c r="A1404" t="s">
        <v>2341</v>
      </c>
      <c r="B1404" t="s">
        <v>24</v>
      </c>
      <c r="C1404" t="s">
        <v>148</v>
      </c>
      <c r="D1404" t="s">
        <v>8</v>
      </c>
      <c r="E1404" s="3" t="str">
        <f>HYPERLINK("http://www.otzar.org/book.asp?140812","סדר ברכת הנהנין")</f>
        <v>סדר ברכת הנהנין</v>
      </c>
    </row>
    <row r="1405" spans="1:5" x14ac:dyDescent="0.2">
      <c r="A1405" t="s">
        <v>2342</v>
      </c>
      <c r="B1405" t="s">
        <v>780</v>
      </c>
      <c r="C1405" t="s">
        <v>2343</v>
      </c>
      <c r="D1405" t="s">
        <v>2344</v>
      </c>
      <c r="E1405" s="3" t="str">
        <f>HYPERLINK("http://www.otzar.org/book.asp?142756","סדר הגדה של פסח (כתב יד)")</f>
        <v>סדר הגדה של פסח (כתב יד)</v>
      </c>
    </row>
    <row r="1406" spans="1:5" x14ac:dyDescent="0.2">
      <c r="A1406" t="s">
        <v>2345</v>
      </c>
      <c r="B1406" t="s">
        <v>2346</v>
      </c>
      <c r="C1406" t="s">
        <v>2347</v>
      </c>
      <c r="D1406" t="s">
        <v>2348</v>
      </c>
      <c r="E1406" s="3" t="str">
        <f>HYPERLINK("http://www.otzar.org/book.asp?607943","סדר הגדה של פסח (פרעש בורג)")</f>
        <v>סדר הגדה של פסח (פרעש בורג)</v>
      </c>
    </row>
    <row r="1407" spans="1:5" x14ac:dyDescent="0.2">
      <c r="A1407" t="s">
        <v>2349</v>
      </c>
      <c r="B1407" t="s">
        <v>2350</v>
      </c>
      <c r="C1407" t="s">
        <v>213</v>
      </c>
      <c r="D1407" t="s">
        <v>12</v>
      </c>
      <c r="E1407" s="3" t="str">
        <f>HYPERLINK("http://www.otzar.org/book.asp?141590","סדר הכנסת ספר תורה ע""פ מנהג חב""ד")</f>
        <v>סדר הכנסת ספר תורה ע"פ מנהג חב"ד</v>
      </c>
    </row>
    <row r="1408" spans="1:5" x14ac:dyDescent="0.2">
      <c r="A1408" t="s">
        <v>2351</v>
      </c>
      <c r="B1408" t="s">
        <v>2352</v>
      </c>
      <c r="C1408" t="s">
        <v>52</v>
      </c>
      <c r="D1408" t="s">
        <v>12</v>
      </c>
      <c r="E1408" s="3" t="str">
        <f>HYPERLINK("http://www.otzar.org/book.asp?145765","סדר הנהגה לתלמידים - 2 כר'")</f>
        <v>סדר הנהגה לתלמידים - 2 כר'</v>
      </c>
    </row>
    <row r="1409" spans="1:5" x14ac:dyDescent="0.2">
      <c r="A1409" t="s">
        <v>2353</v>
      </c>
      <c r="B1409" t="s">
        <v>2353</v>
      </c>
      <c r="C1409" t="s">
        <v>301</v>
      </c>
      <c r="D1409" t="s">
        <v>19</v>
      </c>
      <c r="E1409" s="3" t="str">
        <f>HYPERLINK("http://www.otzar.org/book.asp?146382","סדר הקפות בשמח""ת")</f>
        <v>סדר הקפות בשמח"ת</v>
      </c>
    </row>
    <row r="1410" spans="1:5" x14ac:dyDescent="0.2">
      <c r="A1410" t="s">
        <v>2354</v>
      </c>
      <c r="B1410" t="s">
        <v>774</v>
      </c>
      <c r="C1410" t="s">
        <v>73</v>
      </c>
      <c r="D1410" t="s">
        <v>8</v>
      </c>
      <c r="E1410" s="3" t="str">
        <f>HYPERLINK("http://www.otzar.org/book.asp?181646","סדר מכירת חמץ")</f>
        <v>סדר מכירת חמץ</v>
      </c>
    </row>
    <row r="1411" spans="1:5" x14ac:dyDescent="0.2">
      <c r="A1411" t="s">
        <v>2355</v>
      </c>
      <c r="B1411" t="s">
        <v>2356</v>
      </c>
      <c r="C1411" t="s">
        <v>44</v>
      </c>
      <c r="D1411" t="s">
        <v>19</v>
      </c>
      <c r="E1411" s="3" t="str">
        <f>HYPERLINK("http://www.otzar.org/book.asp?607678","סדר מלווה מלכה")</f>
        <v>סדר מלווה מלכה</v>
      </c>
    </row>
    <row r="1412" spans="1:5" x14ac:dyDescent="0.2">
      <c r="A1412" t="s">
        <v>2357</v>
      </c>
      <c r="B1412" t="s">
        <v>2357</v>
      </c>
      <c r="C1412" t="s">
        <v>165</v>
      </c>
      <c r="D1412" t="s">
        <v>2358</v>
      </c>
      <c r="E1412" s="3" t="str">
        <f>HYPERLINK("http://www.otzar.org/book.asp?146406","סדר עליה לתורה")</f>
        <v>סדר עליה לתורה</v>
      </c>
    </row>
    <row r="1413" spans="1:5" x14ac:dyDescent="0.2">
      <c r="A1413" t="s">
        <v>2359</v>
      </c>
      <c r="B1413" t="s">
        <v>2360</v>
      </c>
      <c r="C1413" t="s">
        <v>82</v>
      </c>
      <c r="D1413" t="s">
        <v>12</v>
      </c>
      <c r="E1413" s="3" t="str">
        <f>HYPERLINK("http://www.otzar.org/book.asp?607915","סדר צום החמישי - כמנהג חב""ד")</f>
        <v>סדר צום החמישי - כמנהג חב"ד</v>
      </c>
    </row>
    <row r="1414" spans="1:5" x14ac:dyDescent="0.2">
      <c r="A1414" t="s">
        <v>2361</v>
      </c>
      <c r="B1414" t="s">
        <v>2362</v>
      </c>
      <c r="C1414" t="s">
        <v>76</v>
      </c>
      <c r="D1414" t="s">
        <v>467</v>
      </c>
      <c r="E1414" s="3" t="str">
        <f>HYPERLINK("http://www.otzar.org/book.asp?141411","סדר קידוש לשבת עם ביאורים")</f>
        <v>סדר קידוש לשבת עם ביאורים</v>
      </c>
    </row>
    <row r="1415" spans="1:5" x14ac:dyDescent="0.2">
      <c r="A1415" t="s">
        <v>2363</v>
      </c>
      <c r="B1415" t="s">
        <v>2364</v>
      </c>
      <c r="C1415" t="s">
        <v>34</v>
      </c>
      <c r="D1415" t="s">
        <v>8</v>
      </c>
      <c r="E1415" s="3" t="str">
        <f>HYPERLINK("http://www.otzar.org/book.asp?158862","סדר קידושין ונישואין - 2 כר'")</f>
        <v>סדר קידושין ונישואין - 2 כר'</v>
      </c>
    </row>
    <row r="1416" spans="1:5" x14ac:dyDescent="0.2">
      <c r="A1416" t="s">
        <v>2365</v>
      </c>
      <c r="B1416" t="s">
        <v>2366</v>
      </c>
      <c r="C1416" t="s">
        <v>76</v>
      </c>
      <c r="D1416" t="s">
        <v>8</v>
      </c>
      <c r="E1416" s="3" t="str">
        <f>HYPERLINK("http://www.otzar.org/book.asp?146321","סדר קרבן פסח ע""פ נוסח בעל התניא, עם תרגום אידיש")</f>
        <v>סדר קרבן פסח ע"פ נוסח בעל התניא, עם תרגום אידיש</v>
      </c>
    </row>
    <row r="1417" spans="1:5" x14ac:dyDescent="0.2">
      <c r="A1417" t="s">
        <v>2367</v>
      </c>
      <c r="B1417" t="s">
        <v>2368</v>
      </c>
      <c r="C1417" t="s">
        <v>183</v>
      </c>
      <c r="D1417" t="s">
        <v>19</v>
      </c>
      <c r="E1417" s="3" t="str">
        <f>HYPERLINK("http://www.otzar.org/book.asp?26888","סדר קריאת שמע על המיטה עפ""י נוסח האריז""ל")</f>
        <v>סדר קריאת שמע על המיטה עפ"י נוסח האריז"ל</v>
      </c>
    </row>
    <row r="1418" spans="1:5" x14ac:dyDescent="0.2">
      <c r="A1418" t="s">
        <v>2369</v>
      </c>
      <c r="B1418" t="s">
        <v>17</v>
      </c>
      <c r="C1418" t="s">
        <v>350</v>
      </c>
      <c r="D1418" t="s">
        <v>208</v>
      </c>
      <c r="E1418" s="3" t="str">
        <f>HYPERLINK("http://www.otzar.org/book.asp?607788","סדר תנאים אירוסין ונישואין")</f>
        <v>סדר תנאים אירוסין ונישואין</v>
      </c>
    </row>
    <row r="1419" spans="1:5" x14ac:dyDescent="0.2">
      <c r="A1419" t="s">
        <v>2370</v>
      </c>
      <c r="B1419" t="s">
        <v>24</v>
      </c>
      <c r="C1419" t="s">
        <v>67</v>
      </c>
      <c r="D1419" t="s">
        <v>8</v>
      </c>
      <c r="E1419" s="3" t="str">
        <f>HYPERLINK("http://www.otzar.org/book.asp?27145","סדר תפילות מכל השנה עם פירוש המלות עפ""י דא""ח")</f>
        <v>סדר תפילות מכל השנה עם פירוש המלות עפ"י דא"ח</v>
      </c>
    </row>
    <row r="1420" spans="1:5" x14ac:dyDescent="0.2">
      <c r="A1420" t="s">
        <v>2371</v>
      </c>
      <c r="B1420" t="s">
        <v>2372</v>
      </c>
      <c r="C1420" t="s">
        <v>22</v>
      </c>
      <c r="D1420" t="s">
        <v>12</v>
      </c>
      <c r="E1420" s="3" t="str">
        <f>HYPERLINK("http://www.otzar.org/book.asp?142324","סדר תפלה על פי נוסח הקדוש האריז""ל &lt;סידור מהרי""ד&gt; - 2 כר'")</f>
        <v>סדר תפלה על פי נוסח הקדוש האריז"ל &lt;סידור מהרי"ד&gt; - 2 כר'</v>
      </c>
    </row>
    <row r="1421" spans="1:5" x14ac:dyDescent="0.2">
      <c r="A1421" t="s">
        <v>2373</v>
      </c>
      <c r="B1421" t="s">
        <v>2373</v>
      </c>
      <c r="C1421" t="s">
        <v>18</v>
      </c>
      <c r="D1421" t="s">
        <v>19</v>
      </c>
      <c r="E1421" s="3" t="str">
        <f>HYPERLINK("http://www.otzar.org/book.asp?146395","סדר תקוני שבת")</f>
        <v>סדר תקוני שבת</v>
      </c>
    </row>
    <row r="1422" spans="1:5" x14ac:dyDescent="0.2">
      <c r="A1422" t="s">
        <v>2374</v>
      </c>
      <c r="B1422" t="s">
        <v>75</v>
      </c>
      <c r="C1422" t="s">
        <v>44</v>
      </c>
      <c r="D1422" t="s">
        <v>40</v>
      </c>
      <c r="E1422" s="3" t="str">
        <f>HYPERLINK("http://www.otzar.org/book.asp?173502","סוגיות בחסידות")</f>
        <v>סוגיות בחסידות</v>
      </c>
    </row>
    <row r="1423" spans="1:5" x14ac:dyDescent="0.2">
      <c r="A1423" t="s">
        <v>2375</v>
      </c>
      <c r="B1423" t="s">
        <v>1607</v>
      </c>
      <c r="C1423" t="s">
        <v>34</v>
      </c>
      <c r="D1423" t="s">
        <v>12</v>
      </c>
      <c r="E1423" s="3" t="str">
        <f>HYPERLINK("http://www.otzar.org/book.asp?156447","סוגיות בחסידות - אחדות ה'")</f>
        <v>סוגיות בחסידות - אחדות ה'</v>
      </c>
    </row>
    <row r="1424" spans="1:5" x14ac:dyDescent="0.2">
      <c r="A1424" t="s">
        <v>2376</v>
      </c>
      <c r="B1424" t="s">
        <v>2377</v>
      </c>
      <c r="C1424" t="s">
        <v>73</v>
      </c>
      <c r="D1424" t="s">
        <v>208</v>
      </c>
      <c r="E1424" s="3" t="str">
        <f>HYPERLINK("http://www.otzar.org/book.asp?607651","סוגיות בעניני משיח וגאולה - א")</f>
        <v>סוגיות בעניני משיח וגאולה - א</v>
      </c>
    </row>
    <row r="1425" spans="1:5" x14ac:dyDescent="0.2">
      <c r="A1425" t="s">
        <v>2378</v>
      </c>
      <c r="B1425" t="s">
        <v>2379</v>
      </c>
      <c r="C1425" t="s">
        <v>54</v>
      </c>
      <c r="D1425" t="s">
        <v>8</v>
      </c>
      <c r="E1425" s="3" t="str">
        <f>HYPERLINK("http://www.otzar.org/book.asp?173580","סוגיות בתורת החסידות - 3 כר'")</f>
        <v>סוגיות בתורת החסידות - 3 כר'</v>
      </c>
    </row>
    <row r="1426" spans="1:5" x14ac:dyDescent="0.2">
      <c r="A1426" t="s">
        <v>2380</v>
      </c>
      <c r="B1426" t="s">
        <v>24</v>
      </c>
      <c r="C1426" t="s">
        <v>2381</v>
      </c>
      <c r="D1426" t="s">
        <v>1058</v>
      </c>
      <c r="E1426" s="3" t="str">
        <f>HYPERLINK("http://www.otzar.org/book.asp?27608","סוד קדושים")</f>
        <v>סוד קדושים</v>
      </c>
    </row>
    <row r="1427" spans="1:5" x14ac:dyDescent="0.2">
      <c r="A1427" t="s">
        <v>2382</v>
      </c>
      <c r="B1427" t="s">
        <v>336</v>
      </c>
      <c r="C1427" t="s">
        <v>165</v>
      </c>
      <c r="D1427" t="s">
        <v>181</v>
      </c>
      <c r="E1427" s="3" t="str">
        <f>HYPERLINK("http://www.otzar.org/book.asp?189302","סוערות בדממה")</f>
        <v>סוערות בדממה</v>
      </c>
    </row>
    <row r="1428" spans="1:5" x14ac:dyDescent="0.2">
      <c r="A1428" t="s">
        <v>2383</v>
      </c>
      <c r="B1428" t="s">
        <v>1929</v>
      </c>
      <c r="C1428" t="s">
        <v>165</v>
      </c>
      <c r="D1428" t="s">
        <v>8</v>
      </c>
      <c r="E1428" s="3" t="str">
        <f>HYPERLINK("http://www.otzar.org/book.asp?28808","סידור המפרש תהלת ה'")</f>
        <v>סידור המפרש תהלת ה'</v>
      </c>
    </row>
    <row r="1429" spans="1:5" x14ac:dyDescent="0.2">
      <c r="A1429" t="s">
        <v>2384</v>
      </c>
      <c r="B1429" t="s">
        <v>2385</v>
      </c>
      <c r="C1429" t="s">
        <v>2386</v>
      </c>
      <c r="D1429" t="s">
        <v>2387</v>
      </c>
      <c r="E1429" s="3" t="str">
        <f>HYPERLINK("http://www.otzar.org/book.asp?195657","סידור הרב &lt;מהדורת שחזור דפוס ראשון&gt;")</f>
        <v>סידור הרב &lt;מהדורת שחזור דפוס ראשון&gt;</v>
      </c>
    </row>
    <row r="1430" spans="1:5" x14ac:dyDescent="0.2">
      <c r="A1430" t="s">
        <v>2388</v>
      </c>
      <c r="B1430" t="s">
        <v>2389</v>
      </c>
      <c r="C1430" t="s">
        <v>82</v>
      </c>
      <c r="D1430" t="s">
        <v>12</v>
      </c>
      <c r="E1430" s="3" t="str">
        <f>HYPERLINK("http://www.otzar.org/book.asp?196241","סידור טעמו וראו")</f>
        <v>סידור טעמו וראו</v>
      </c>
    </row>
    <row r="1431" spans="1:5" x14ac:dyDescent="0.2">
      <c r="A1431" t="s">
        <v>2390</v>
      </c>
      <c r="B1431" t="s">
        <v>2391</v>
      </c>
      <c r="C1431" t="s">
        <v>44</v>
      </c>
      <c r="D1431" t="s">
        <v>2392</v>
      </c>
      <c r="E1431" s="3" t="str">
        <f>HYPERLINK("http://www.otzar.org/book.asp?174179","סידור לעם עם תרגום באנגלית")</f>
        <v>סידור לעם עם תרגום באנגלית</v>
      </c>
    </row>
    <row r="1432" spans="1:5" x14ac:dyDescent="0.2">
      <c r="A1432" t="s">
        <v>2393</v>
      </c>
      <c r="B1432" t="s">
        <v>2394</v>
      </c>
      <c r="C1432" t="s">
        <v>327</v>
      </c>
      <c r="D1432" t="s">
        <v>8</v>
      </c>
      <c r="E1432" s="3" t="str">
        <f>HYPERLINK("http://www.otzar.org/book.asp?27143","סידור רבינו הזקן &lt;עם ציונים והערות&gt;")</f>
        <v>סידור רבינו הזקן &lt;עם ציונים והערות&gt;</v>
      </c>
    </row>
    <row r="1433" spans="1:5" x14ac:dyDescent="0.2">
      <c r="A1433" t="s">
        <v>2395</v>
      </c>
      <c r="B1433" t="s">
        <v>2396</v>
      </c>
      <c r="C1433" t="s">
        <v>39</v>
      </c>
      <c r="D1433" t="s">
        <v>40</v>
      </c>
      <c r="E1433" s="3" t="str">
        <f>HYPERLINK("http://www.otzar.org/book.asp?141693","סידור רבינו הזקן &lt;טקסט&gt;")</f>
        <v>סידור רבינו הזקן &lt;טקסט&gt;</v>
      </c>
    </row>
    <row r="1434" spans="1:5" x14ac:dyDescent="0.2">
      <c r="A1434" t="s">
        <v>2397</v>
      </c>
      <c r="B1434" t="s">
        <v>24</v>
      </c>
      <c r="C1434" t="s">
        <v>148</v>
      </c>
      <c r="D1434" t="s">
        <v>8</v>
      </c>
      <c r="E1434" s="3" t="str">
        <f>HYPERLINK("http://www.otzar.org/book.asp?141379","סידור תהלת ה' עם תרגום אנגלי")</f>
        <v>סידור תהלת ה' עם תרגום אנגלי</v>
      </c>
    </row>
    <row r="1435" spans="1:5" x14ac:dyDescent="0.2">
      <c r="A1435" t="s">
        <v>2398</v>
      </c>
      <c r="B1435" t="s">
        <v>24</v>
      </c>
      <c r="C1435" t="s">
        <v>11</v>
      </c>
      <c r="D1435" t="s">
        <v>272</v>
      </c>
      <c r="E1435" s="3" t="str">
        <f>HYPERLINK("http://www.otzar.org/book.asp?164316","סידור תהלת ה' עם תרגום ספרדי")</f>
        <v>סידור תהלת ה' עם תרגום ספרדי</v>
      </c>
    </row>
    <row r="1436" spans="1:5" x14ac:dyDescent="0.2">
      <c r="A1436" t="s">
        <v>2399</v>
      </c>
      <c r="B1436" t="s">
        <v>24</v>
      </c>
      <c r="C1436" t="s">
        <v>327</v>
      </c>
      <c r="D1436" t="s">
        <v>8</v>
      </c>
      <c r="E1436" s="3" t="str">
        <f>HYPERLINK("http://www.otzar.org/book.asp?141385","סידור תהלת ה' - 2 כר'")</f>
        <v>סידור תהלת ה' - 2 כר'</v>
      </c>
    </row>
    <row r="1437" spans="1:5" x14ac:dyDescent="0.2">
      <c r="A1437" t="s">
        <v>2400</v>
      </c>
      <c r="B1437" t="s">
        <v>2401</v>
      </c>
      <c r="C1437" t="s">
        <v>165</v>
      </c>
      <c r="D1437" t="s">
        <v>8</v>
      </c>
      <c r="E1437" s="3" t="str">
        <f>HYPERLINK("http://www.otzar.org/book.asp?141382","סידור תורה אור")</f>
        <v>סידור תורה אור</v>
      </c>
    </row>
    <row r="1438" spans="1:5" x14ac:dyDescent="0.2">
      <c r="A1438" t="s">
        <v>2402</v>
      </c>
      <c r="B1438" t="s">
        <v>2403</v>
      </c>
      <c r="C1438" t="s">
        <v>1322</v>
      </c>
      <c r="D1438" t="s">
        <v>312</v>
      </c>
      <c r="E1438" s="3" t="str">
        <f>HYPERLINK("http://www.otzar.org/book.asp?140825","סידור תפלה עם ליקוטי תורה")</f>
        <v>סידור תפלה עם ליקוטי תורה</v>
      </c>
    </row>
    <row r="1439" spans="1:5" x14ac:dyDescent="0.2">
      <c r="A1439" t="s">
        <v>2404</v>
      </c>
      <c r="B1439" t="s">
        <v>207</v>
      </c>
      <c r="D1439" t="s">
        <v>12</v>
      </c>
      <c r="E1439" s="3" t="str">
        <f>HYPERLINK("http://www.otzar.org/book.asp?607927","סיום והכנסת ספר תורה - מנהגים")</f>
        <v>סיום והכנסת ספר תורה - מנהגים</v>
      </c>
    </row>
    <row r="1440" spans="1:5" x14ac:dyDescent="0.2">
      <c r="A1440" t="s">
        <v>2405</v>
      </c>
      <c r="B1440" t="s">
        <v>2405</v>
      </c>
      <c r="C1440" t="s">
        <v>111</v>
      </c>
      <c r="D1440" t="s">
        <v>116</v>
      </c>
      <c r="E1440" s="3" t="str">
        <f>HYPERLINK("http://www.otzar.org/book.asp?140940","סיום והכנסת ספר תורה")</f>
        <v>סיום והכנסת ספר תורה</v>
      </c>
    </row>
    <row r="1441" spans="1:5" x14ac:dyDescent="0.2">
      <c r="A1441" t="s">
        <v>2405</v>
      </c>
      <c r="B1441" t="s">
        <v>30</v>
      </c>
      <c r="C1441" t="s">
        <v>58</v>
      </c>
      <c r="D1441" t="s">
        <v>8</v>
      </c>
      <c r="E1441" s="3" t="str">
        <f>HYPERLINK("http://www.otzar.org/book.asp?146285","סיום והכנסת ספר תורה")</f>
        <v>סיום והכנסת ספר תורה</v>
      </c>
    </row>
    <row r="1442" spans="1:5" x14ac:dyDescent="0.2">
      <c r="A1442" t="s">
        <v>2406</v>
      </c>
      <c r="B1442" t="s">
        <v>2407</v>
      </c>
      <c r="C1442" t="s">
        <v>122</v>
      </c>
      <c r="D1442" t="s">
        <v>8</v>
      </c>
      <c r="E1442" s="3" t="str">
        <f>HYPERLINK("http://www.otzar.org/book.asp?29260","סיומי הרמב""ם")</f>
        <v>סיומי הרמב"ם</v>
      </c>
    </row>
    <row r="1443" spans="1:5" x14ac:dyDescent="0.2">
      <c r="A1443" t="s">
        <v>2408</v>
      </c>
      <c r="B1443" t="s">
        <v>2255</v>
      </c>
      <c r="C1443" t="s">
        <v>54</v>
      </c>
      <c r="D1443" t="s">
        <v>1398</v>
      </c>
      <c r="E1443" s="3" t="str">
        <f>HYPERLINK("http://www.otzar.org/book.asp?173560","סיכום המשך בשעה שהקדימו תער""ב")</f>
        <v>סיכום המשך בשעה שהקדימו תער"ב</v>
      </c>
    </row>
    <row r="1444" spans="1:5" x14ac:dyDescent="0.2">
      <c r="A1444" t="s">
        <v>2409</v>
      </c>
      <c r="B1444" t="s">
        <v>874</v>
      </c>
      <c r="C1444" t="s">
        <v>148</v>
      </c>
      <c r="D1444" t="s">
        <v>12</v>
      </c>
      <c r="E1444" s="3" t="str">
        <f>HYPERLINK("http://www.otzar.org/book.asp?29330","סיפור אישי - 2 כר'")</f>
        <v>סיפור אישי - 2 כר'</v>
      </c>
    </row>
    <row r="1445" spans="1:5" x14ac:dyDescent="0.2">
      <c r="A1445" t="s">
        <v>2410</v>
      </c>
      <c r="B1445" t="s">
        <v>336</v>
      </c>
      <c r="C1445" t="s">
        <v>165</v>
      </c>
      <c r="D1445" t="s">
        <v>323</v>
      </c>
      <c r="E1445" s="3" t="str">
        <f>HYPERLINK("http://www.otzar.org/book.asp?28799","סיפור של חג - 7 כר'")</f>
        <v>סיפור של חג - 7 כר'</v>
      </c>
    </row>
    <row r="1446" spans="1:5" x14ac:dyDescent="0.2">
      <c r="A1446" t="s">
        <v>2411</v>
      </c>
      <c r="B1446" t="s">
        <v>1466</v>
      </c>
      <c r="C1446" t="s">
        <v>161</v>
      </c>
      <c r="D1446" t="s">
        <v>12</v>
      </c>
      <c r="E1446" s="3" t="str">
        <f>HYPERLINK("http://www.otzar.org/book.asp?28788","סיפורה של שליחות - 2 כר'")</f>
        <v>סיפורה של שליחות - 2 כר'</v>
      </c>
    </row>
    <row r="1447" spans="1:5" x14ac:dyDescent="0.2">
      <c r="A1447" t="s">
        <v>2412</v>
      </c>
      <c r="B1447" t="s">
        <v>2413</v>
      </c>
      <c r="C1447" t="s">
        <v>60</v>
      </c>
      <c r="D1447" t="s">
        <v>12</v>
      </c>
      <c r="E1447" s="3" t="str">
        <f>HYPERLINK("http://www.otzar.org/book.asp?141397","סיפורי חסידים לנוער - 2 כר'")</f>
        <v>סיפורי חסידים לנוער - 2 כר'</v>
      </c>
    </row>
    <row r="1448" spans="1:5" x14ac:dyDescent="0.2">
      <c r="A1448" t="s">
        <v>2414</v>
      </c>
      <c r="B1448" t="s">
        <v>2415</v>
      </c>
      <c r="C1448" t="s">
        <v>82</v>
      </c>
      <c r="D1448" t="s">
        <v>19</v>
      </c>
      <c r="E1448" s="3" t="str">
        <f>HYPERLINK("http://www.otzar.org/book.asp?607906","סיפורי חסידים - א")</f>
        <v>סיפורי חסידים - א</v>
      </c>
    </row>
    <row r="1449" spans="1:5" x14ac:dyDescent="0.2">
      <c r="A1449" t="s">
        <v>2416</v>
      </c>
      <c r="B1449" t="s">
        <v>479</v>
      </c>
      <c r="C1449" t="s">
        <v>39</v>
      </c>
      <c r="D1449" t="s">
        <v>181</v>
      </c>
      <c r="E1449" s="3" t="str">
        <f>HYPERLINK("http://www.otzar.org/book.asp?140837","סיפורי מופת - 5 כר'")</f>
        <v>סיפורי מופת - 5 כר'</v>
      </c>
    </row>
    <row r="1450" spans="1:5" x14ac:dyDescent="0.2">
      <c r="A1450" t="s">
        <v>2417</v>
      </c>
      <c r="B1450" t="s">
        <v>2418</v>
      </c>
      <c r="C1450" t="s">
        <v>119</v>
      </c>
      <c r="D1450" t="s">
        <v>8</v>
      </c>
      <c r="E1450" s="3" t="str">
        <f>HYPERLINK("http://www.otzar.org/book.asp?145788","סיפורי מופתים וקווים לדמותו של הרבי מליובאוויטש")</f>
        <v>סיפורי מופתים וקווים לדמותו של הרבי מליובאוויטש</v>
      </c>
    </row>
    <row r="1451" spans="1:5" x14ac:dyDescent="0.2">
      <c r="A1451" t="s">
        <v>2419</v>
      </c>
      <c r="B1451" t="s">
        <v>2420</v>
      </c>
      <c r="C1451" t="s">
        <v>39</v>
      </c>
      <c r="D1451" t="s">
        <v>40</v>
      </c>
      <c r="E1451" s="3" t="str">
        <f>HYPERLINK("http://www.otzar.org/book.asp?146387","סיפורי פלא מקוריים")</f>
        <v>סיפורי פלא מקוריים</v>
      </c>
    </row>
    <row r="1452" spans="1:5" x14ac:dyDescent="0.2">
      <c r="A1452" t="s">
        <v>2421</v>
      </c>
      <c r="B1452" t="s">
        <v>370</v>
      </c>
      <c r="C1452" t="s">
        <v>67</v>
      </c>
      <c r="D1452" t="s">
        <v>12</v>
      </c>
      <c r="E1452" s="3" t="str">
        <f>HYPERLINK("http://www.otzar.org/book.asp?27242","סיפורים חסידיים - 2 כר'")</f>
        <v>סיפורים חסידיים - 2 כר'</v>
      </c>
    </row>
    <row r="1453" spans="1:5" x14ac:dyDescent="0.2">
      <c r="A1453" t="s">
        <v>2422</v>
      </c>
      <c r="B1453" t="s">
        <v>2423</v>
      </c>
      <c r="C1453" t="s">
        <v>76</v>
      </c>
      <c r="D1453" t="s">
        <v>19</v>
      </c>
      <c r="E1453" s="3" t="str">
        <f>HYPERLINK("http://www.otzar.org/book.asp?175927","סיפורים מבית חב""ד - 2 כר'")</f>
        <v>סיפורים מבית חב"ד - 2 כר'</v>
      </c>
    </row>
    <row r="1454" spans="1:5" x14ac:dyDescent="0.2">
      <c r="A1454" t="s">
        <v>2424</v>
      </c>
      <c r="B1454" t="s">
        <v>336</v>
      </c>
      <c r="C1454" t="s">
        <v>191</v>
      </c>
      <c r="D1454" t="s">
        <v>332</v>
      </c>
      <c r="E1454" s="3" t="str">
        <f>HYPERLINK("http://www.otzar.org/book.asp?85198","סיפורים מחדר הרבי")</f>
        <v>סיפורים מחדר הרבי</v>
      </c>
    </row>
    <row r="1455" spans="1:5" x14ac:dyDescent="0.2">
      <c r="A1455" t="s">
        <v>2425</v>
      </c>
      <c r="B1455" t="s">
        <v>1167</v>
      </c>
      <c r="C1455" t="s">
        <v>142</v>
      </c>
      <c r="D1455" t="s">
        <v>19</v>
      </c>
      <c r="E1455" s="3" t="str">
        <f>HYPERLINK("http://www.otzar.org/book.asp?630111","סיפורים נוראים &lt;מהדורה מחודשת&gt;")</f>
        <v>סיפורים נוראים &lt;מהדורה מחודשת&gt;</v>
      </c>
    </row>
    <row r="1456" spans="1:5" x14ac:dyDescent="0.2">
      <c r="A1456" t="s">
        <v>2426</v>
      </c>
      <c r="B1456" t="s">
        <v>1167</v>
      </c>
      <c r="C1456" t="s">
        <v>2427</v>
      </c>
      <c r="D1456" t="s">
        <v>2428</v>
      </c>
      <c r="E1456" s="3" t="str">
        <f>HYPERLINK("http://www.otzar.org/book.asp?102115","סיפורים נוראים - 3 כר'")</f>
        <v>סיפורים נוראים - 3 כר'</v>
      </c>
    </row>
    <row r="1457" spans="1:5" x14ac:dyDescent="0.2">
      <c r="A1457" t="s">
        <v>2429</v>
      </c>
      <c r="B1457" t="s">
        <v>2430</v>
      </c>
      <c r="C1457" t="s">
        <v>191</v>
      </c>
      <c r="D1457" t="s">
        <v>12</v>
      </c>
      <c r="E1457" s="3" t="str">
        <f>HYPERLINK("http://www.otzar.org/book.asp?150929","סיפורים שאהבתי לספר - 2 כר'")</f>
        <v>סיפורים שאהבתי לספר - 2 כר'</v>
      </c>
    </row>
    <row r="1458" spans="1:5" x14ac:dyDescent="0.2">
      <c r="A1458" t="s">
        <v>2431</v>
      </c>
      <c r="B1458" t="s">
        <v>2432</v>
      </c>
      <c r="C1458" t="s">
        <v>350</v>
      </c>
      <c r="D1458" t="s">
        <v>19</v>
      </c>
      <c r="E1458" s="3" t="str">
        <f>HYPERLINK("http://www.otzar.org/book.asp?611919","סיפורים שסיפר הרבי מליובאוויטש והוראות בעבודת ה'")</f>
        <v>סיפורים שסיפר הרבי מליובאוויטש והוראות בעבודת ה'</v>
      </c>
    </row>
    <row r="1459" spans="1:5" x14ac:dyDescent="0.2">
      <c r="A1459" t="s">
        <v>2433</v>
      </c>
      <c r="B1459" t="s">
        <v>2434</v>
      </c>
      <c r="C1459" t="s">
        <v>712</v>
      </c>
      <c r="D1459" t="s">
        <v>92</v>
      </c>
      <c r="E1459" s="3" t="str">
        <f>HYPERLINK("http://www.otzar.org/book.asp?143270","סליחות על פי מנהג חב""ד - 2 כר'")</f>
        <v>סליחות על פי מנהג חב"ד - 2 כר'</v>
      </c>
    </row>
    <row r="1460" spans="1:5" x14ac:dyDescent="0.2">
      <c r="A1460" t="s">
        <v>2435</v>
      </c>
      <c r="B1460" t="s">
        <v>2068</v>
      </c>
      <c r="C1460" t="s">
        <v>44</v>
      </c>
      <c r="D1460" t="s">
        <v>12</v>
      </c>
      <c r="E1460" s="3" t="str">
        <f>HYPERLINK("http://www.otzar.org/book.asp?175903","סמרקנד")</f>
        <v>סמרקנד</v>
      </c>
    </row>
    <row r="1461" spans="1:5" x14ac:dyDescent="0.2">
      <c r="A1461" t="s">
        <v>2436</v>
      </c>
      <c r="B1461" t="s">
        <v>2437</v>
      </c>
      <c r="C1461" t="s">
        <v>86</v>
      </c>
      <c r="D1461" t="s">
        <v>116</v>
      </c>
      <c r="E1461" s="3" t="str">
        <f>HYPERLINK("http://www.otzar.org/book.asp?150676","סעודה שלישית")</f>
        <v>סעודה שלישית</v>
      </c>
    </row>
    <row r="1462" spans="1:5" x14ac:dyDescent="0.2">
      <c r="A1462" t="s">
        <v>2438</v>
      </c>
      <c r="B1462" t="s">
        <v>2439</v>
      </c>
      <c r="C1462" t="s">
        <v>111</v>
      </c>
      <c r="D1462" t="s">
        <v>8</v>
      </c>
      <c r="E1462" s="3" t="str">
        <f>HYPERLINK("http://www.otzar.org/book.asp?27643","סעודת מלוה מלכה רבתי")</f>
        <v>סעודת מלוה מלכה רבתי</v>
      </c>
    </row>
    <row r="1463" spans="1:5" x14ac:dyDescent="0.2">
      <c r="A1463" t="s">
        <v>2440</v>
      </c>
      <c r="B1463" t="s">
        <v>2441</v>
      </c>
      <c r="C1463" t="s">
        <v>350</v>
      </c>
      <c r="D1463" t="s">
        <v>12</v>
      </c>
      <c r="E1463" s="3" t="str">
        <f>HYPERLINK("http://www.otzar.org/book.asp?607826","ספורי החסידי")</f>
        <v>ספורי החסידי</v>
      </c>
    </row>
    <row r="1464" spans="1:5" x14ac:dyDescent="0.2">
      <c r="A1464" t="s">
        <v>2442</v>
      </c>
      <c r="B1464" t="s">
        <v>2443</v>
      </c>
      <c r="C1464" t="s">
        <v>82</v>
      </c>
      <c r="D1464" t="s">
        <v>8</v>
      </c>
      <c r="E1464" s="3" t="str">
        <f>HYPERLINK("http://www.otzar.org/book.asp?196298","ספורי רשימת היומן")</f>
        <v>ספורי רשימת היומן</v>
      </c>
    </row>
    <row r="1465" spans="1:5" x14ac:dyDescent="0.2">
      <c r="A1465" t="s">
        <v>2444</v>
      </c>
      <c r="B1465" t="s">
        <v>2444</v>
      </c>
      <c r="C1465" t="s">
        <v>11</v>
      </c>
      <c r="D1465" t="s">
        <v>12</v>
      </c>
      <c r="E1465" s="3" t="str">
        <f>HYPERLINK("http://www.otzar.org/book.asp?162735","ספורים נפלאים")</f>
        <v>ספורים נפלאים</v>
      </c>
    </row>
    <row r="1466" spans="1:5" x14ac:dyDescent="0.2">
      <c r="A1466" t="s">
        <v>2445</v>
      </c>
      <c r="B1466" t="s">
        <v>2446</v>
      </c>
      <c r="C1466" t="s">
        <v>76</v>
      </c>
      <c r="D1466" t="s">
        <v>19</v>
      </c>
      <c r="E1466" s="3" t="str">
        <f>HYPERLINK("http://www.otzar.org/book.asp?146275","ספירת העומר")</f>
        <v>ספירת העומר</v>
      </c>
    </row>
    <row r="1467" spans="1:5" x14ac:dyDescent="0.2">
      <c r="A1467" t="s">
        <v>2447</v>
      </c>
      <c r="B1467" t="s">
        <v>30</v>
      </c>
      <c r="C1467" t="s">
        <v>119</v>
      </c>
      <c r="D1467" t="s">
        <v>8</v>
      </c>
      <c r="E1467" s="3" t="str">
        <f>HYPERLINK("http://www.otzar.org/book.asp?141355","ספר ג' תמוז")</f>
        <v>ספר ג' תמוז</v>
      </c>
    </row>
    <row r="1468" spans="1:5" x14ac:dyDescent="0.2">
      <c r="A1468" t="s">
        <v>2448</v>
      </c>
      <c r="B1468" t="s">
        <v>2448</v>
      </c>
      <c r="C1468" t="s">
        <v>358</v>
      </c>
      <c r="D1468" t="s">
        <v>26</v>
      </c>
      <c r="E1468" s="3" t="str">
        <f>HYPERLINK("http://www.otzar.org/book.asp?14993","ספר הבעש""ט")</f>
        <v>ספר הבעש"ט</v>
      </c>
    </row>
    <row r="1469" spans="1:5" x14ac:dyDescent="0.2">
      <c r="A1469" t="s">
        <v>2449</v>
      </c>
      <c r="B1469" t="s">
        <v>2450</v>
      </c>
      <c r="C1469" t="s">
        <v>11</v>
      </c>
      <c r="D1469" t="s">
        <v>332</v>
      </c>
      <c r="E1469" s="3" t="str">
        <f>HYPERLINK("http://www.otzar.org/book.asp?162741","ספר הגור - 2 כר'")</f>
        <v>ספר הגור - 2 כר'</v>
      </c>
    </row>
    <row r="1470" spans="1:5" x14ac:dyDescent="0.2">
      <c r="A1470" t="s">
        <v>2451</v>
      </c>
      <c r="B1470" t="s">
        <v>2452</v>
      </c>
      <c r="C1470" t="s">
        <v>86</v>
      </c>
      <c r="D1470" t="s">
        <v>8</v>
      </c>
      <c r="E1470" s="3" t="str">
        <f>HYPERLINK("http://www.otzar.org/book.asp?145550","ספר ההשתטחות")</f>
        <v>ספר ההשתטחות</v>
      </c>
    </row>
    <row r="1471" spans="1:5" x14ac:dyDescent="0.2">
      <c r="A1471" t="s">
        <v>2451</v>
      </c>
      <c r="B1471" t="s">
        <v>2451</v>
      </c>
      <c r="C1471" t="s">
        <v>129</v>
      </c>
      <c r="D1471" t="s">
        <v>8</v>
      </c>
      <c r="E1471" s="3" t="str">
        <f>HYPERLINK("http://www.otzar.org/book.asp?28783","ספר ההשתטחות")</f>
        <v>ספר ההשתטחות</v>
      </c>
    </row>
    <row r="1472" spans="1:5" x14ac:dyDescent="0.2">
      <c r="A1472" t="s">
        <v>2453</v>
      </c>
      <c r="B1472" t="s">
        <v>38</v>
      </c>
      <c r="C1472" t="s">
        <v>213</v>
      </c>
      <c r="D1472" t="s">
        <v>12</v>
      </c>
      <c r="E1472" s="3" t="str">
        <f>HYPERLINK("http://www.otzar.org/book.asp?26461","ספר הזכרונות &lt;בלה""ק&gt; - 2 כר'")</f>
        <v>ספר הזכרונות &lt;בלה"ק&gt; - 2 כר'</v>
      </c>
    </row>
    <row r="1473" spans="1:5" x14ac:dyDescent="0.2">
      <c r="A1473" t="s">
        <v>2454</v>
      </c>
      <c r="B1473" t="s">
        <v>2455</v>
      </c>
      <c r="C1473" t="s">
        <v>448</v>
      </c>
      <c r="D1473" t="s">
        <v>8</v>
      </c>
      <c r="E1473" s="3" t="str">
        <f>HYPERLINK("http://www.otzar.org/book.asp?146550","ספר הזכרונות - דברי הימים")</f>
        <v>ספר הזכרונות - דברי הימים</v>
      </c>
    </row>
    <row r="1474" spans="1:5" x14ac:dyDescent="0.2">
      <c r="A1474" t="s">
        <v>2456</v>
      </c>
      <c r="B1474" t="s">
        <v>38</v>
      </c>
      <c r="C1474" t="s">
        <v>712</v>
      </c>
      <c r="D1474" t="s">
        <v>12</v>
      </c>
      <c r="E1474" s="3" t="str">
        <f>HYPERLINK("http://www.otzar.org/book.asp?143266","ספר הזכרונות - 2 כר'")</f>
        <v>ספר הזכרונות - 2 כר'</v>
      </c>
    </row>
    <row r="1475" spans="1:5" x14ac:dyDescent="0.2">
      <c r="A1475" t="s">
        <v>2457</v>
      </c>
      <c r="B1475" t="s">
        <v>62</v>
      </c>
      <c r="C1475" t="s">
        <v>52</v>
      </c>
      <c r="D1475" t="s">
        <v>8</v>
      </c>
      <c r="E1475" s="3" t="str">
        <f>HYPERLINK("http://www.otzar.org/book.asp?27082","ספר החקירה")</f>
        <v>ספר החקירה</v>
      </c>
    </row>
    <row r="1476" spans="1:5" x14ac:dyDescent="0.2">
      <c r="A1476" t="s">
        <v>2458</v>
      </c>
      <c r="B1476" t="s">
        <v>108</v>
      </c>
      <c r="C1476" t="s">
        <v>31</v>
      </c>
      <c r="D1476" t="s">
        <v>8</v>
      </c>
      <c r="E1476" s="3" t="str">
        <f>HYPERLINK("http://www.otzar.org/book.asp?27163","ספר היובל קרנות צדי""ק")</f>
        <v>ספר היובל קרנות צדי"ק</v>
      </c>
    </row>
    <row r="1477" spans="1:5" x14ac:dyDescent="0.2">
      <c r="A1477" t="s">
        <v>2459</v>
      </c>
      <c r="B1477" t="s">
        <v>151</v>
      </c>
      <c r="C1477" t="s">
        <v>122</v>
      </c>
      <c r="D1477" t="s">
        <v>8</v>
      </c>
      <c r="E1477" s="3" t="str">
        <f>HYPERLINK("http://www.otzar.org/book.asp?142726","ספר היחידות")</f>
        <v>ספר היחידות</v>
      </c>
    </row>
    <row r="1478" spans="1:5" x14ac:dyDescent="0.2">
      <c r="A1478" t="s">
        <v>2460</v>
      </c>
      <c r="B1478" t="s">
        <v>62</v>
      </c>
      <c r="C1478" t="s">
        <v>60</v>
      </c>
      <c r="D1478" t="s">
        <v>8</v>
      </c>
      <c r="E1478" s="3" t="str">
        <f>HYPERLINK("http://www.otzar.org/book.asp?26157","ספר הליקוטים דא""ח צמח צדק - 25 כר'")</f>
        <v>ספר הליקוטים דא"ח צמח צדק - 25 כר'</v>
      </c>
    </row>
    <row r="1479" spans="1:5" x14ac:dyDescent="0.2">
      <c r="A1479" t="s">
        <v>2461</v>
      </c>
      <c r="B1479" t="e">
        <f>- שניאורסון, יוסף יצחק בן שלום דוב בר</f>
        <v>#NAME?</v>
      </c>
      <c r="C1479" t="s">
        <v>11</v>
      </c>
      <c r="D1479" t="s">
        <v>2462</v>
      </c>
      <c r="E1479" s="3" t="str">
        <f>HYPERLINK("http://www.otzar.org/book.asp?164313","ספר המאמרים &lt;בתרגום צרפתית&gt;")</f>
        <v>ספר המאמרים &lt;בתרגום צרפתית&gt;</v>
      </c>
    </row>
    <row r="1480" spans="1:5" x14ac:dyDescent="0.2">
      <c r="A1480" t="s">
        <v>2463</v>
      </c>
      <c r="B1480" t="s">
        <v>38</v>
      </c>
      <c r="C1480" t="s">
        <v>39</v>
      </c>
      <c r="D1480" t="s">
        <v>40</v>
      </c>
      <c r="E1480" s="3" t="str">
        <f>HYPERLINK("http://www.otzar.org/book.asp?141694","ספר המאמרים &lt;טקסט&gt; - תרפ""ט")</f>
        <v>ספר המאמרים &lt;טקסט&gt; - תרפ"ט</v>
      </c>
    </row>
    <row r="1481" spans="1:5" x14ac:dyDescent="0.2">
      <c r="A1481" t="s">
        <v>2464</v>
      </c>
      <c r="B1481" t="s">
        <v>38</v>
      </c>
      <c r="C1481" t="s">
        <v>327</v>
      </c>
      <c r="D1481" t="s">
        <v>8</v>
      </c>
      <c r="E1481" s="3" t="str">
        <f>HYPERLINK("http://www.otzar.org/book.asp?26272","ספר המאמרים &lt;קונטרסים&gt; - 3 כר'")</f>
        <v>ספר המאמרים &lt;קונטרסים&gt; - 3 כר'</v>
      </c>
    </row>
    <row r="1482" spans="1:5" x14ac:dyDescent="0.2">
      <c r="A1482" t="s">
        <v>2465</v>
      </c>
      <c r="B1482" t="s">
        <v>30</v>
      </c>
      <c r="C1482" t="s">
        <v>327</v>
      </c>
      <c r="D1482" t="s">
        <v>8</v>
      </c>
      <c r="E1482" s="3" t="str">
        <f>HYPERLINK("http://www.otzar.org/book.asp?167684","ספר המאמרים &lt;מלוקט&gt; - א")</f>
        <v>ספר המאמרים &lt;מלוקט&gt; - א</v>
      </c>
    </row>
    <row r="1483" spans="1:5" x14ac:dyDescent="0.2">
      <c r="A1483" t="s">
        <v>2466</v>
      </c>
      <c r="B1483" t="s">
        <v>64</v>
      </c>
      <c r="C1483" t="s">
        <v>39</v>
      </c>
      <c r="D1483" t="s">
        <v>40</v>
      </c>
      <c r="E1483" s="3" t="str">
        <f>HYPERLINK("http://www.otzar.org/book.asp?141690","ספר המאמרים &lt;טקסט&gt; - המשך תרע""ב")</f>
        <v>ספר המאמרים &lt;טקסט&gt; - המשך תרע"ב</v>
      </c>
    </row>
    <row r="1484" spans="1:5" x14ac:dyDescent="0.2">
      <c r="A1484" t="s">
        <v>2467</v>
      </c>
      <c r="B1484" t="s">
        <v>2468</v>
      </c>
      <c r="C1484" t="s">
        <v>350</v>
      </c>
      <c r="D1484" t="s">
        <v>8</v>
      </c>
      <c r="E1484" s="3" t="str">
        <f>HYPERLINK("http://www.otzar.org/book.asp?607845","ספר המאמרים עם תרגום באנגלית")</f>
        <v>ספר המאמרים עם תרגום באנגלית</v>
      </c>
    </row>
    <row r="1485" spans="1:5" x14ac:dyDescent="0.2">
      <c r="A1485" t="s">
        <v>2469</v>
      </c>
      <c r="B1485" t="s">
        <v>2470</v>
      </c>
      <c r="C1485" t="s">
        <v>54</v>
      </c>
      <c r="D1485" t="s">
        <v>8</v>
      </c>
      <c r="E1485" s="3" t="str">
        <f>HYPERLINK("http://www.otzar.org/book.asp?611985","ספר המאמרים עת""ר")</f>
        <v>ספר המאמרים עת"ר</v>
      </c>
    </row>
    <row r="1486" spans="1:5" x14ac:dyDescent="0.2">
      <c r="A1486" t="s">
        <v>2471</v>
      </c>
      <c r="B1486" t="s">
        <v>38</v>
      </c>
      <c r="C1486" t="s">
        <v>327</v>
      </c>
      <c r="D1486" t="s">
        <v>8</v>
      </c>
      <c r="E1486" s="3" t="str">
        <f>HYPERLINK("http://www.otzar.org/book.asp?26265","ספר המאמרים - 20 כר'")</f>
        <v>ספר המאמרים - 20 כר'</v>
      </c>
    </row>
    <row r="1487" spans="1:5" x14ac:dyDescent="0.2">
      <c r="A1487" t="s">
        <v>2472</v>
      </c>
      <c r="B1487" t="s">
        <v>30</v>
      </c>
      <c r="C1487" t="s">
        <v>22</v>
      </c>
      <c r="D1487" t="s">
        <v>8</v>
      </c>
      <c r="E1487" s="3" t="str">
        <f>HYPERLINK("http://www.otzar.org/book.asp?143310","ספר המאמרים - 23 כר'")</f>
        <v>ספר המאמרים - 23 כר'</v>
      </c>
    </row>
    <row r="1488" spans="1:5" x14ac:dyDescent="0.2">
      <c r="A1488" t="s">
        <v>2473</v>
      </c>
      <c r="B1488" t="s">
        <v>64</v>
      </c>
      <c r="C1488" t="s">
        <v>49</v>
      </c>
      <c r="D1488" t="s">
        <v>8</v>
      </c>
      <c r="E1488" s="3" t="str">
        <f>HYPERLINK("http://www.otzar.org/book.asp?143283","ספר המאמרים - 30 כר'")</f>
        <v>ספר המאמרים - 30 כר'</v>
      </c>
    </row>
    <row r="1489" spans="1:5" x14ac:dyDescent="0.2">
      <c r="A1489" t="s">
        <v>2474</v>
      </c>
      <c r="B1489" t="s">
        <v>2475</v>
      </c>
      <c r="C1489" t="s">
        <v>477</v>
      </c>
      <c r="D1489" t="s">
        <v>12</v>
      </c>
      <c r="E1489" s="3" t="str">
        <f>HYPERLINK("http://www.otzar.org/book.asp?27121","ספר המנהגים - 2 כר'")</f>
        <v>ספר המנהגים - 2 כר'</v>
      </c>
    </row>
    <row r="1490" spans="1:5" x14ac:dyDescent="0.2">
      <c r="A1490" t="s">
        <v>2476</v>
      </c>
      <c r="B1490" t="s">
        <v>2477</v>
      </c>
      <c r="C1490" t="s">
        <v>58</v>
      </c>
      <c r="D1490" t="s">
        <v>8</v>
      </c>
      <c r="E1490" s="3" t="str">
        <f>HYPERLINK("http://www.otzar.org/book.asp?141461","ספר המפתחות  לספרי דא""ח כ""ק אדמור הזקן - ב")</f>
        <v>ספר המפתחות  לספרי דא"ח כ"ק אדמור הזקן - ב</v>
      </c>
    </row>
    <row r="1491" spans="1:5" x14ac:dyDescent="0.2">
      <c r="A1491" t="s">
        <v>2478</v>
      </c>
      <c r="B1491" t="s">
        <v>2477</v>
      </c>
      <c r="C1491" t="s">
        <v>2479</v>
      </c>
      <c r="D1491" t="s">
        <v>8</v>
      </c>
      <c r="E1491" s="3" t="str">
        <f>HYPERLINK("http://www.otzar.org/book.asp?103531","ספר המפתחות &lt;לספרי ומאמרי חסידות&gt;")</f>
        <v>ספר המפתחות &lt;לספרי ומאמרי חסידות&gt;</v>
      </c>
    </row>
    <row r="1492" spans="1:5" x14ac:dyDescent="0.2">
      <c r="A1492" t="s">
        <v>2480</v>
      </c>
      <c r="B1492" t="s">
        <v>2481</v>
      </c>
      <c r="C1492" t="s">
        <v>60</v>
      </c>
      <c r="D1492" t="s">
        <v>8</v>
      </c>
      <c r="E1492" s="3" t="str">
        <f>HYPERLINK("http://www.otzar.org/book.asp?143325","ספר המפתחות לספרי כ""ק אדמו""ר הצמח צדק - 2 כר'")</f>
        <v>ספר המפתחות לספרי כ"ק אדמו"ר הצמח צדק - 2 כר'</v>
      </c>
    </row>
    <row r="1493" spans="1:5" x14ac:dyDescent="0.2">
      <c r="A1493" t="s">
        <v>2482</v>
      </c>
      <c r="B1493" t="s">
        <v>2477</v>
      </c>
      <c r="C1493" t="s">
        <v>58</v>
      </c>
      <c r="D1493" t="s">
        <v>8</v>
      </c>
      <c r="E1493" s="3" t="str">
        <f>HYPERLINK("http://www.otzar.org/book.asp?141506","ספר המפתחות לספרי כ""ק אדמו""ר מהר""ש")</f>
        <v>ספר המפתחות לספרי כ"ק אדמו"ר מהר"ש</v>
      </c>
    </row>
    <row r="1494" spans="1:5" x14ac:dyDescent="0.2">
      <c r="A1494" t="s">
        <v>2483</v>
      </c>
      <c r="B1494" t="s">
        <v>2477</v>
      </c>
      <c r="C1494" t="s">
        <v>39</v>
      </c>
      <c r="D1494" t="s">
        <v>8</v>
      </c>
      <c r="E1494" s="3" t="str">
        <f>HYPERLINK("http://www.otzar.org/book.asp?142650","ספר המפתחות לתורת לוי יצחק וליקוטי לוי יצחק")</f>
        <v>ספר המפתחות לתורת לוי יצחק וליקוטי לוי יצחק</v>
      </c>
    </row>
    <row r="1495" spans="1:5" x14ac:dyDescent="0.2">
      <c r="A1495" t="s">
        <v>2484</v>
      </c>
      <c r="B1495" t="s">
        <v>69</v>
      </c>
      <c r="C1495" t="s">
        <v>148</v>
      </c>
      <c r="D1495" t="s">
        <v>40</v>
      </c>
      <c r="E1495" s="3" t="str">
        <f>HYPERLINK("http://www.otzar.org/book.asp?27218","ספר המצות לרמב""ם מבואר ומנוקד")</f>
        <v>ספר המצות לרמב"ם מבואר ומנוקד</v>
      </c>
    </row>
    <row r="1496" spans="1:5" x14ac:dyDescent="0.2">
      <c r="A1496" t="s">
        <v>2485</v>
      </c>
      <c r="B1496" t="s">
        <v>2486</v>
      </c>
      <c r="C1496" t="s">
        <v>201</v>
      </c>
      <c r="D1496" t="s">
        <v>8</v>
      </c>
      <c r="E1496" s="3" t="str">
        <f>HYPERLINK("http://www.otzar.org/book.asp?141457","ספר הניגונים - 2 כר'")</f>
        <v>ספר הניגונים - 2 כר'</v>
      </c>
    </row>
    <row r="1497" spans="1:5" x14ac:dyDescent="0.2">
      <c r="A1497" t="s">
        <v>2487</v>
      </c>
      <c r="B1497" t="s">
        <v>2487</v>
      </c>
      <c r="C1497" t="s">
        <v>76</v>
      </c>
      <c r="D1497" t="s">
        <v>19</v>
      </c>
      <c r="E1497" s="3" t="str">
        <f>HYPERLINK("http://www.otzar.org/book.asp?141555","ספר העצות")</f>
        <v>ספר העצות</v>
      </c>
    </row>
    <row r="1498" spans="1:5" x14ac:dyDescent="0.2">
      <c r="A1498" t="s">
        <v>2488</v>
      </c>
      <c r="B1498" t="s">
        <v>2489</v>
      </c>
      <c r="C1498" t="s">
        <v>88</v>
      </c>
      <c r="D1498" t="s">
        <v>8</v>
      </c>
      <c r="E1498" s="3" t="str">
        <f>HYPERLINK("http://www.otzar.org/book.asp?26893","ספר הערכים חב""ד - 7 כר'")</f>
        <v>ספר הערכים חב"ד - 7 כר'</v>
      </c>
    </row>
    <row r="1499" spans="1:5" x14ac:dyDescent="0.2">
      <c r="A1499" t="s">
        <v>2490</v>
      </c>
      <c r="B1499" t="s">
        <v>2491</v>
      </c>
      <c r="C1499" t="s">
        <v>126</v>
      </c>
      <c r="D1499" t="s">
        <v>40</v>
      </c>
      <c r="E1499" s="3" t="str">
        <f>HYPERLINK("http://www.otzar.org/book.asp?143347","ספר הצאצאים של רבינו שניאור זלמן מליאדי")</f>
        <v>ספר הצאצאים של רבינו שניאור זלמן מליאדי</v>
      </c>
    </row>
    <row r="1500" spans="1:5" x14ac:dyDescent="0.2">
      <c r="A1500" t="s">
        <v>2492</v>
      </c>
      <c r="B1500" t="s">
        <v>38</v>
      </c>
      <c r="C1500" t="s">
        <v>2493</v>
      </c>
      <c r="D1500" t="s">
        <v>92</v>
      </c>
      <c r="E1500" s="3" t="str">
        <f>HYPERLINK("http://www.otzar.org/book.asp?100743","ספר הקיצורים")</f>
        <v>ספר הקיצורים</v>
      </c>
    </row>
    <row r="1501" spans="1:5" x14ac:dyDescent="0.2">
      <c r="A1501" t="s">
        <v>2494</v>
      </c>
      <c r="B1501" t="s">
        <v>2494</v>
      </c>
      <c r="C1501" t="s">
        <v>1671</v>
      </c>
      <c r="D1501" t="s">
        <v>40</v>
      </c>
      <c r="E1501" s="3" t="str">
        <f>HYPERLINK("http://www.otzar.org/book.asp?141337","ספר הקן")</f>
        <v>ספר הקן</v>
      </c>
    </row>
    <row r="1502" spans="1:5" x14ac:dyDescent="0.2">
      <c r="A1502" t="s">
        <v>2495</v>
      </c>
      <c r="B1502" t="s">
        <v>2496</v>
      </c>
      <c r="C1502" t="s">
        <v>730</v>
      </c>
      <c r="D1502" t="s">
        <v>26</v>
      </c>
      <c r="E1502" s="3" t="str">
        <f>HYPERLINK("http://www.otzar.org/book.asp?28297","ספר השוהם")</f>
        <v>ספר השוהם</v>
      </c>
    </row>
    <row r="1503" spans="1:5" x14ac:dyDescent="0.2">
      <c r="A1503" t="s">
        <v>2497</v>
      </c>
      <c r="B1503" t="s">
        <v>2498</v>
      </c>
      <c r="C1503" t="s">
        <v>31</v>
      </c>
      <c r="D1503" t="s">
        <v>12</v>
      </c>
      <c r="E1503" s="3" t="str">
        <f>HYPERLINK("http://www.otzar.org/book.asp?26466","ספר השיחות בלשון הקודש - ג (תש""ד-תש""ה)")</f>
        <v>ספר השיחות בלשון הקודש - ג (תש"ד-תש"ה)</v>
      </c>
    </row>
    <row r="1504" spans="1:5" x14ac:dyDescent="0.2">
      <c r="A1504" t="s">
        <v>2499</v>
      </c>
      <c r="B1504" t="s">
        <v>2500</v>
      </c>
      <c r="C1504" t="s">
        <v>31</v>
      </c>
      <c r="D1504" t="s">
        <v>12</v>
      </c>
      <c r="E1504" s="3" t="str">
        <f>HYPERLINK("http://www.otzar.org/book.asp?26464","ספר השיחות בלשון הקודש - 2 כר'")</f>
        <v>ספר השיחות בלשון הקודש - 2 כר'</v>
      </c>
    </row>
    <row r="1505" spans="1:5" x14ac:dyDescent="0.2">
      <c r="A1505" t="s">
        <v>2501</v>
      </c>
      <c r="B1505" t="s">
        <v>38</v>
      </c>
      <c r="C1505" t="s">
        <v>327</v>
      </c>
      <c r="D1505" t="s">
        <v>8</v>
      </c>
      <c r="E1505" s="3" t="str">
        <f>HYPERLINK("http://www.otzar.org/book.asp?26277","ספר השיחות - 7 כר'")</f>
        <v>ספר השיחות - 7 כר'</v>
      </c>
    </row>
    <row r="1506" spans="1:5" x14ac:dyDescent="0.2">
      <c r="A1506" t="s">
        <v>2502</v>
      </c>
      <c r="B1506" t="s">
        <v>30</v>
      </c>
      <c r="C1506" t="s">
        <v>52</v>
      </c>
      <c r="D1506" t="s">
        <v>8</v>
      </c>
      <c r="E1506" s="3" t="str">
        <f>HYPERLINK("http://www.otzar.org/book.asp?26595","ספר השיחות - 10 כר'")</f>
        <v>ספר השיחות - 10 כר'</v>
      </c>
    </row>
    <row r="1507" spans="1:5" x14ac:dyDescent="0.2">
      <c r="A1507" t="s">
        <v>2503</v>
      </c>
      <c r="B1507" t="s">
        <v>280</v>
      </c>
      <c r="C1507" t="s">
        <v>22</v>
      </c>
      <c r="D1507" t="s">
        <v>8</v>
      </c>
      <c r="E1507" s="3" t="str">
        <f>HYPERLINK("http://www.otzar.org/book.asp?141648","ספר השלוחים - 4 כר'")</f>
        <v>ספר השלוחים - 4 כר'</v>
      </c>
    </row>
    <row r="1508" spans="1:5" x14ac:dyDescent="0.2">
      <c r="A1508" t="s">
        <v>2504</v>
      </c>
      <c r="B1508" t="s">
        <v>30</v>
      </c>
      <c r="C1508" t="s">
        <v>122</v>
      </c>
      <c r="D1508" t="s">
        <v>12</v>
      </c>
      <c r="E1508" s="3" t="str">
        <f>HYPERLINK("http://www.otzar.org/book.asp?26512","ספר השליחות - 3 כר'")</f>
        <v>ספר השליחות - 3 כר'</v>
      </c>
    </row>
    <row r="1509" spans="1:5" x14ac:dyDescent="0.2">
      <c r="A1509" t="s">
        <v>2505</v>
      </c>
      <c r="B1509" t="s">
        <v>2506</v>
      </c>
      <c r="C1509" t="s">
        <v>712</v>
      </c>
      <c r="D1509" t="s">
        <v>8</v>
      </c>
      <c r="E1509" s="3" t="str">
        <f>HYPERLINK("http://www.otzar.org/book.asp?141350","ספר השנה")</f>
        <v>ספר השנה</v>
      </c>
    </row>
    <row r="1510" spans="1:5" x14ac:dyDescent="0.2">
      <c r="A1510" t="s">
        <v>2507</v>
      </c>
      <c r="B1510" t="s">
        <v>2508</v>
      </c>
      <c r="C1510" t="s">
        <v>1019</v>
      </c>
      <c r="D1510" t="s">
        <v>8</v>
      </c>
      <c r="E1510" s="3" t="str">
        <f>HYPERLINK("http://www.otzar.org/book.asp?143320","ספר התולדות - 18 כר'")</f>
        <v>ספר התולדות - 18 כר'</v>
      </c>
    </row>
    <row r="1511" spans="1:5" x14ac:dyDescent="0.2">
      <c r="A1511" t="s">
        <v>2509</v>
      </c>
      <c r="B1511" t="s">
        <v>66</v>
      </c>
      <c r="C1511" t="s">
        <v>213</v>
      </c>
      <c r="D1511" t="s">
        <v>92</v>
      </c>
      <c r="E1511" s="3" t="str">
        <f>HYPERLINK("http://www.otzar.org/book.asp?26881","ספר התולדות")</f>
        <v>ספר התולדות</v>
      </c>
    </row>
    <row r="1512" spans="1:5" x14ac:dyDescent="0.2">
      <c r="A1512" t="s">
        <v>2510</v>
      </c>
      <c r="B1512" t="s">
        <v>2511</v>
      </c>
      <c r="C1512" t="s">
        <v>155</v>
      </c>
      <c r="D1512" t="s">
        <v>8</v>
      </c>
      <c r="E1512" s="3" t="str">
        <f>HYPERLINK("http://www.otzar.org/book.asp?145421","ספר התכונה למתחיל")</f>
        <v>ספר התכונה למתחיל</v>
      </c>
    </row>
    <row r="1513" spans="1:5" x14ac:dyDescent="0.2">
      <c r="A1513" t="s">
        <v>2512</v>
      </c>
      <c r="B1513" t="s">
        <v>2513</v>
      </c>
      <c r="C1513" t="s">
        <v>22</v>
      </c>
      <c r="D1513" t="s">
        <v>8</v>
      </c>
      <c r="E1513" s="3" t="str">
        <f>HYPERLINK("http://www.otzar.org/book.asp?26898","ספר התמימים - 2 כר'")</f>
        <v>ספר התמימים - 2 כר'</v>
      </c>
    </row>
    <row r="1514" spans="1:5" x14ac:dyDescent="0.2">
      <c r="A1514" t="s">
        <v>2514</v>
      </c>
      <c r="B1514" t="s">
        <v>145</v>
      </c>
      <c r="C1514" t="s">
        <v>60</v>
      </c>
      <c r="D1514" t="s">
        <v>12</v>
      </c>
      <c r="E1514" s="3" t="str">
        <f>HYPERLINK("http://www.otzar.org/book.asp?607721","ספר התניא - ביבליוגרפיה")</f>
        <v>ספר התניא - ביבליוגרפיה</v>
      </c>
    </row>
    <row r="1515" spans="1:5" x14ac:dyDescent="0.2">
      <c r="A1515" t="s">
        <v>2515</v>
      </c>
      <c r="B1515" t="s">
        <v>24</v>
      </c>
      <c r="C1515" t="s">
        <v>18</v>
      </c>
      <c r="D1515" t="s">
        <v>95</v>
      </c>
      <c r="E1515" s="3" t="str">
        <f>HYPERLINK("http://www.otzar.org/book.asp?140828","ספר התניא - 3 כר'")</f>
        <v>ספר התניא - 3 כר'</v>
      </c>
    </row>
    <row r="1516" spans="1:5" x14ac:dyDescent="0.2">
      <c r="A1516" t="s">
        <v>2516</v>
      </c>
      <c r="B1516" t="s">
        <v>21</v>
      </c>
      <c r="C1516" t="s">
        <v>477</v>
      </c>
      <c r="D1516" t="s">
        <v>40</v>
      </c>
      <c r="E1516" s="3" t="str">
        <f>HYPERLINK("http://www.otzar.org/book.asp?27610","ספר זכרון אגלי נוחם")</f>
        <v>ספר זכרון אגלי נוחם</v>
      </c>
    </row>
    <row r="1517" spans="1:5" x14ac:dyDescent="0.2">
      <c r="A1517" t="s">
        <v>2517</v>
      </c>
      <c r="B1517" t="s">
        <v>2518</v>
      </c>
      <c r="C1517" t="s">
        <v>301</v>
      </c>
      <c r="D1517" t="s">
        <v>40</v>
      </c>
      <c r="E1517" s="3" t="str">
        <f>HYPERLINK("http://www.otzar.org/book.asp?142327","ספר זכרון - 2 כר'")</f>
        <v>ספר זכרון - 2 כר'</v>
      </c>
    </row>
    <row r="1518" spans="1:5" x14ac:dyDescent="0.2">
      <c r="A1518" t="s">
        <v>2519</v>
      </c>
      <c r="B1518" t="s">
        <v>108</v>
      </c>
      <c r="C1518" t="s">
        <v>44</v>
      </c>
      <c r="D1518" t="s">
        <v>382</v>
      </c>
      <c r="E1518" s="3" t="str">
        <f>HYPERLINK("http://www.otzar.org/book.asp?180784","ספר מגדל דוד - 3 כר'")</f>
        <v>ספר מגדל דוד - 3 כר'</v>
      </c>
    </row>
    <row r="1519" spans="1:5" x14ac:dyDescent="0.2">
      <c r="A1519" t="s">
        <v>2520</v>
      </c>
      <c r="B1519" t="s">
        <v>108</v>
      </c>
      <c r="C1519" t="s">
        <v>52</v>
      </c>
      <c r="D1519" t="s">
        <v>8</v>
      </c>
      <c r="E1519" s="3" t="str">
        <f>HYPERLINK("http://www.otzar.org/book.asp?141500","ספר פלפולים זכרון יוסף")</f>
        <v>ספר פלפולים זכרון יוסף</v>
      </c>
    </row>
    <row r="1520" spans="1:5" x14ac:dyDescent="0.2">
      <c r="A1520" t="s">
        <v>2521</v>
      </c>
      <c r="B1520" t="s">
        <v>62</v>
      </c>
      <c r="C1520" t="s">
        <v>67</v>
      </c>
      <c r="D1520" t="s">
        <v>8</v>
      </c>
      <c r="E1520" s="3" t="str">
        <f>HYPERLINK("http://www.otzar.org/book.asp?27084","ספר תהלים אהל יוסף יצחק (השלם)")</f>
        <v>ספר תהלים אהל יוסף יצחק (השלם)</v>
      </c>
    </row>
    <row r="1521" spans="1:5" x14ac:dyDescent="0.2">
      <c r="A1521" t="s">
        <v>2522</v>
      </c>
      <c r="B1521" t="s">
        <v>62</v>
      </c>
      <c r="C1521" t="s">
        <v>34</v>
      </c>
      <c r="D1521" t="s">
        <v>272</v>
      </c>
      <c r="E1521" s="3" t="str">
        <f>HYPERLINK("http://www.otzar.org/book.asp?154698","ספר תהלים אהל יוסף יצחק (עם תרגום ספרדית)")</f>
        <v>ספר תהלים אהל יוסף יצחק (עם תרגום ספרדית)</v>
      </c>
    </row>
    <row r="1522" spans="1:5" x14ac:dyDescent="0.2">
      <c r="A1522" t="s">
        <v>2523</v>
      </c>
      <c r="B1522" t="s">
        <v>30</v>
      </c>
      <c r="C1522" t="s">
        <v>148</v>
      </c>
      <c r="D1522" t="s">
        <v>8</v>
      </c>
      <c r="E1522" s="3" t="str">
        <f>HYPERLINK("http://www.otzar.org/book.asp?27201","ספר תהלים אהל יוסף יצחק ע""פ תהלות מנחם")</f>
        <v>ספר תהלים אהל יוסף יצחק ע"פ תהלות מנחם</v>
      </c>
    </row>
    <row r="1523" spans="1:5" x14ac:dyDescent="0.2">
      <c r="A1523" t="s">
        <v>2524</v>
      </c>
      <c r="B1523" t="s">
        <v>62</v>
      </c>
      <c r="C1523" t="s">
        <v>148</v>
      </c>
      <c r="D1523" t="s">
        <v>12</v>
      </c>
      <c r="E1523" s="3" t="str">
        <f>HYPERLINK("http://www.otzar.org/book.asp?162903","ספר תהלים אהל יוסף יצחק עם תרגום צרפתי")</f>
        <v>ספר תהלים אהל יוסף יצחק עם תרגום צרפתי</v>
      </c>
    </row>
    <row r="1524" spans="1:5" x14ac:dyDescent="0.2">
      <c r="A1524" t="s">
        <v>2525</v>
      </c>
      <c r="B1524" t="s">
        <v>2526</v>
      </c>
      <c r="C1524" t="s">
        <v>165</v>
      </c>
      <c r="D1524" t="s">
        <v>12</v>
      </c>
      <c r="E1524" s="3" t="str">
        <f>HYPERLINK("http://www.otzar.org/book.asp?142181","ספר תהלים אהל יוסף יצחק")</f>
        <v>ספר תהלים אהל יוסף יצחק</v>
      </c>
    </row>
    <row r="1525" spans="1:5" x14ac:dyDescent="0.2">
      <c r="A1525" t="s">
        <v>2527</v>
      </c>
      <c r="B1525" t="s">
        <v>2528</v>
      </c>
      <c r="C1525" t="s">
        <v>82</v>
      </c>
      <c r="D1525" t="s">
        <v>8</v>
      </c>
      <c r="E1525" s="3" t="str">
        <f>HYPERLINK("http://www.otzar.org/book.asp?607847","ספר תהלים עם תרגום וביאור באנגלית")</f>
        <v>ספר תהלים עם תרגום וביאור באנגלית</v>
      </c>
    </row>
    <row r="1526" spans="1:5" x14ac:dyDescent="0.2">
      <c r="A1526" t="s">
        <v>2529</v>
      </c>
      <c r="B1526" t="s">
        <v>2530</v>
      </c>
      <c r="C1526" t="s">
        <v>44</v>
      </c>
      <c r="D1526" t="s">
        <v>40</v>
      </c>
      <c r="E1526" s="3" t="str">
        <f>HYPERLINK("http://www.otzar.org/book.asp?181517","ספר תהלים קול מנחם עם תרגום אנגלית")</f>
        <v>ספר תהלים קול מנחם עם תרגום אנגלית</v>
      </c>
    </row>
    <row r="1527" spans="1:5" x14ac:dyDescent="0.2">
      <c r="A1527" t="s">
        <v>2531</v>
      </c>
      <c r="B1527" t="s">
        <v>17</v>
      </c>
      <c r="C1527" t="s">
        <v>39</v>
      </c>
      <c r="D1527" t="s">
        <v>40</v>
      </c>
      <c r="E1527" s="3" t="str">
        <f>HYPERLINK("http://www.otzar.org/book.asp?141695","ספריית ליובאוויטש &lt;טקסט&gt;")</f>
        <v>ספריית ליובאוויטש &lt;טקסט&gt;</v>
      </c>
    </row>
    <row r="1528" spans="1:5" x14ac:dyDescent="0.2">
      <c r="A1528" t="s">
        <v>2532</v>
      </c>
      <c r="B1528" t="s">
        <v>17</v>
      </c>
      <c r="C1528" t="s">
        <v>477</v>
      </c>
      <c r="D1528" t="s">
        <v>8</v>
      </c>
      <c r="E1528" s="3" t="str">
        <f>HYPERLINK("http://www.otzar.org/book.asp?28709","ספריית ליובאוויטש")</f>
        <v>ספריית ליובאוויטש</v>
      </c>
    </row>
    <row r="1529" spans="1:5" x14ac:dyDescent="0.2">
      <c r="A1529" t="s">
        <v>2533</v>
      </c>
      <c r="B1529" t="e">
        <f>- Backman, Aidel</f>
        <v>#NAME?</v>
      </c>
      <c r="C1529" t="s">
        <v>52</v>
      </c>
      <c r="D1529" t="s">
        <v>8</v>
      </c>
      <c r="E1529" s="3" t="str">
        <f>HYPERLINK("http://www.otzar.org/book.asp?27881","ספרים באנגלית - The Money In The Honey")</f>
        <v>ספרים באנגלית - The Money In The Honey</v>
      </c>
    </row>
    <row r="1530" spans="1:5" x14ac:dyDescent="0.2">
      <c r="A1530" t="s">
        <v>2534</v>
      </c>
      <c r="B1530" t="e">
        <f>- Barkley, Elozar - Jeger, Yitzchok</f>
        <v>#NAME?</v>
      </c>
      <c r="C1530" t="s">
        <v>183</v>
      </c>
      <c r="D1530" t="s">
        <v>40</v>
      </c>
      <c r="E1530" s="3" t="str">
        <f>HYPERLINK("http://www.otzar.org/book.asp?140927","ספרים באנגלית - A Guide to the Laws of Pesach")</f>
        <v>ספרים באנגלית - A Guide to the Laws of Pesach</v>
      </c>
    </row>
    <row r="1531" spans="1:5" x14ac:dyDescent="0.2">
      <c r="A1531" t="s">
        <v>2535</v>
      </c>
      <c r="B1531" t="s">
        <v>2536</v>
      </c>
      <c r="C1531" t="s">
        <v>213</v>
      </c>
      <c r="D1531" t="s">
        <v>8</v>
      </c>
      <c r="E1531" s="3" t="str">
        <f>HYPERLINK("http://www.otzar.org/book.asp?27694","ספרים באנגלית - Beacons on the Talmud's Sea")</f>
        <v>ספרים באנגלית - Beacons on the Talmud's Sea</v>
      </c>
    </row>
    <row r="1532" spans="1:5" x14ac:dyDescent="0.2">
      <c r="A1532" t="s">
        <v>2537</v>
      </c>
      <c r="B1532" t="e">
        <f>- Bogmilksky, Moshe</f>
        <v>#NAME?</v>
      </c>
      <c r="C1532" t="s">
        <v>183</v>
      </c>
      <c r="D1532" t="s">
        <v>8</v>
      </c>
      <c r="E1532" s="3" t="str">
        <f>HYPERLINK("http://www.otzar.org/book.asp?27801","ספרים באנגלית - Ki Yishalcha Bincha")</f>
        <v>ספרים באנגלית - Ki Yishalcha Bincha</v>
      </c>
    </row>
    <row r="1533" spans="1:5" x14ac:dyDescent="0.2">
      <c r="A1533" t="s">
        <v>2538</v>
      </c>
      <c r="B1533" t="e">
        <f>- Bogomilsky, Moshe</f>
        <v>#NAME?</v>
      </c>
      <c r="C1533" t="s">
        <v>148</v>
      </c>
      <c r="D1533" t="s">
        <v>8</v>
      </c>
      <c r="E1533" s="3" t="str">
        <f>HYPERLINK("http://www.otzar.org/book.asp?141582","ספרים באנגלית - 10 כר'")</f>
        <v>ספרים באנגלית - 10 כר'</v>
      </c>
    </row>
    <row r="1534" spans="1:5" x14ac:dyDescent="0.2">
      <c r="A1534" t="s">
        <v>2539</v>
      </c>
      <c r="B1534" t="e">
        <f>- CHALLENGE</f>
        <v>#NAME?</v>
      </c>
      <c r="C1534" t="s">
        <v>1019</v>
      </c>
      <c r="D1534" t="s">
        <v>816</v>
      </c>
      <c r="E1534" s="3" t="str">
        <f>HYPERLINK("http://www.otzar.org/book.asp?141620","ספרים באנגלית - 2 כר'")</f>
        <v>ספרים באנגלית - 2 כר'</v>
      </c>
    </row>
    <row r="1535" spans="1:5" x14ac:dyDescent="0.2">
      <c r="A1535" t="s">
        <v>2540</v>
      </c>
      <c r="B1535" t="e">
        <f>- Colel Chabad</f>
        <v>#NAME?</v>
      </c>
      <c r="C1535" t="s">
        <v>39</v>
      </c>
      <c r="D1535" t="s">
        <v>8</v>
      </c>
      <c r="E1535" s="3" t="str">
        <f>HYPERLINK("http://www.otzar.org/book.asp?140871","ספרים באנגלית - Luach Colel Chabad 5767")</f>
        <v>ספרים באנגלית - Luach Colel Chabad 5767</v>
      </c>
    </row>
    <row r="1536" spans="1:5" x14ac:dyDescent="0.2">
      <c r="A1536" t="s">
        <v>2541</v>
      </c>
      <c r="B1536" t="e">
        <f>- Dayan, Chaim M</f>
        <v>#NAME?</v>
      </c>
      <c r="C1536" t="s">
        <v>111</v>
      </c>
      <c r="D1536" t="s">
        <v>8</v>
      </c>
      <c r="E1536" s="3" t="str">
        <f>HYPERLINK("http://www.otzar.org/book.asp?27402","ספרים באנגלית - The Educator's Handbook")</f>
        <v>ספרים באנגלית - The Educator's Handbook</v>
      </c>
    </row>
    <row r="1537" spans="1:5" x14ac:dyDescent="0.2">
      <c r="A1537" t="s">
        <v>2542</v>
      </c>
      <c r="B1537" t="e">
        <f>- Devora Benedict</f>
        <v>#NAME?</v>
      </c>
      <c r="C1537" t="s">
        <v>350</v>
      </c>
      <c r="D1537" t="s">
        <v>240</v>
      </c>
      <c r="E1537" s="3" t="str">
        <f>HYPERLINK("http://www.otzar.org/book.asp?613907","ספרים באנגלית - Chassidic Fables")</f>
        <v>ספרים באנגלית - Chassidic Fables</v>
      </c>
    </row>
    <row r="1538" spans="1:5" x14ac:dyDescent="0.2">
      <c r="A1538" t="s">
        <v>2543</v>
      </c>
      <c r="B1538" t="e">
        <f>- Dubnov, Nissan Dovid</f>
        <v>#NAME?</v>
      </c>
      <c r="C1538" t="s">
        <v>52</v>
      </c>
      <c r="D1538" t="s">
        <v>816</v>
      </c>
      <c r="E1538" s="3" t="str">
        <f>HYPERLINK("http://www.otzar.org/book.asp?146206","ספרים באנגלית - KEYJEWISH FACTS")</f>
        <v>ספרים באנגלית - KEYJEWISH FACTS</v>
      </c>
    </row>
    <row r="1539" spans="1:5" x14ac:dyDescent="0.2">
      <c r="A1539" t="s">
        <v>2544</v>
      </c>
      <c r="B1539" t="e">
        <f>- Dubov, Nissan Dovid</f>
        <v>#NAME?</v>
      </c>
      <c r="C1539" t="s">
        <v>76</v>
      </c>
      <c r="D1539" t="s">
        <v>19</v>
      </c>
      <c r="E1539" s="3" t="str">
        <f>HYPERLINK("http://www.otzar.org/book.asp?173846","ספרים באנגלית - 4 כר'")</f>
        <v>ספרים באנגלית - 4 כר'</v>
      </c>
    </row>
    <row r="1540" spans="1:5" x14ac:dyDescent="0.2">
      <c r="A1540" t="s">
        <v>2544</v>
      </c>
      <c r="B1540" t="e">
        <f>- Fridman, Sashi</f>
        <v>#NAME?</v>
      </c>
      <c r="C1540" t="s">
        <v>18</v>
      </c>
      <c r="D1540" t="s">
        <v>8</v>
      </c>
      <c r="E1540" s="3" t="str">
        <f>HYPERLINK("http://www.otzar.org/book.asp?27813","ספרים באנגלית - 4 כר'")</f>
        <v>ספרים באנגלית - 4 כר'</v>
      </c>
    </row>
    <row r="1541" spans="1:5" x14ac:dyDescent="0.2">
      <c r="A1541" t="s">
        <v>2539</v>
      </c>
      <c r="B1541" t="e">
        <f>- Friedman, Alter Eliyahu</f>
        <v>#NAME?</v>
      </c>
      <c r="C1541" t="s">
        <v>477</v>
      </c>
      <c r="D1541" t="s">
        <v>8</v>
      </c>
      <c r="E1541" s="3" t="str">
        <f>HYPERLINK("http://www.otzar.org/book.asp?27759","ספרים באנגלית - 2 כר'")</f>
        <v>ספרים באנגלית - 2 כר'</v>
      </c>
    </row>
    <row r="1542" spans="1:5" x14ac:dyDescent="0.2">
      <c r="A1542" t="s">
        <v>2539</v>
      </c>
      <c r="B1542" t="e">
        <f>- Friedman, Eli</f>
        <v>#NAME?</v>
      </c>
      <c r="C1542" t="s">
        <v>213</v>
      </c>
      <c r="D1542" t="s">
        <v>8</v>
      </c>
      <c r="E1542" s="3" t="str">
        <f>HYPERLINK("http://www.otzar.org/book.asp?27793","ספרים באנגלית - 2 כר'")</f>
        <v>ספרים באנגלית - 2 כר'</v>
      </c>
    </row>
    <row r="1543" spans="1:5" x14ac:dyDescent="0.2">
      <c r="A1543" t="s">
        <v>2545</v>
      </c>
      <c r="B1543" t="e">
        <f>- Glitzenstein, Avraham Chanoch</f>
        <v>#NAME?</v>
      </c>
      <c r="C1543" t="s">
        <v>305</v>
      </c>
      <c r="D1543" t="s">
        <v>8</v>
      </c>
      <c r="E1543" s="3" t="str">
        <f>HYPERLINK("http://www.otzar.org/book.asp?27786","ספרים באנגלית - The Arrest and Liberation of Rabbi Shneur Zalman of Liadi")</f>
        <v>ספרים באנגלית - The Arrest and Liberation of Rabbi Shneur Zalman of Liadi</v>
      </c>
    </row>
    <row r="1544" spans="1:5" x14ac:dyDescent="0.2">
      <c r="A1544" t="s">
        <v>2546</v>
      </c>
      <c r="B1544" t="e">
        <f>- Goldman, Shimon</f>
        <v>#NAME?</v>
      </c>
      <c r="C1544" t="s">
        <v>327</v>
      </c>
      <c r="D1544" t="s">
        <v>8</v>
      </c>
      <c r="E1544" s="3" t="str">
        <f>HYPERLINK("http://www.otzar.org/book.asp?27685","ספרים באנגלית - From Shedlitz to Safety")</f>
        <v>ספרים באנגלית - From Shedlitz to Safety</v>
      </c>
    </row>
    <row r="1545" spans="1:5" x14ac:dyDescent="0.2">
      <c r="A1545" t="s">
        <v>2547</v>
      </c>
      <c r="B1545" t="e">
        <f>- Goldstein, Zalman</f>
        <v>#NAME?</v>
      </c>
      <c r="C1545" t="s">
        <v>18</v>
      </c>
      <c r="D1545" t="s">
        <v>8</v>
      </c>
      <c r="E1545" s="3" t="str">
        <f>HYPERLINK("http://www.otzar.org/book.asp?140926","ספרים באנגלית - Shabbat Synagogue Companion")</f>
        <v>ספרים באנגלית - Shabbat Synagogue Companion</v>
      </c>
    </row>
    <row r="1546" spans="1:5" x14ac:dyDescent="0.2">
      <c r="A1546" t="s">
        <v>2548</v>
      </c>
      <c r="B1546" t="e">
        <f>- Gottleib, Naftali Tzvi</f>
        <v>#NAME?</v>
      </c>
      <c r="C1546" t="s">
        <v>86</v>
      </c>
      <c r="D1546" t="s">
        <v>8</v>
      </c>
      <c r="E1546" s="3" t="str">
        <f>HYPERLINK("http://www.otzar.org/book.asp?143589","ספרים באנגלית - Rabbi, Mystic, Leader")</f>
        <v>ספרים באנגלית - Rabbi, Mystic, Leader</v>
      </c>
    </row>
    <row r="1547" spans="1:5" x14ac:dyDescent="0.2">
      <c r="A1547" t="s">
        <v>2549</v>
      </c>
      <c r="B1547" t="e">
        <f>- Haber, Yisrael</f>
        <v>#NAME?</v>
      </c>
      <c r="C1547" t="s">
        <v>52</v>
      </c>
      <c r="D1547" t="s">
        <v>8</v>
      </c>
      <c r="E1547" s="3" t="str">
        <f>HYPERLINK("http://www.otzar.org/book.asp?27752","ספרים באנגלית - A Rabbi's Northern Adventure")</f>
        <v>ספרים באנגלית - A Rabbi's Northern Adventure</v>
      </c>
    </row>
    <row r="1548" spans="1:5" x14ac:dyDescent="0.2">
      <c r="A1548" t="s">
        <v>2550</v>
      </c>
      <c r="B1548" t="e">
        <f>- Halperin, Aharon Dov</f>
        <v>#NAME?</v>
      </c>
      <c r="C1548" t="s">
        <v>111</v>
      </c>
      <c r="D1548" t="s">
        <v>8</v>
      </c>
      <c r="E1548" s="3" t="str">
        <f>HYPERLINK("http://www.otzar.org/book.asp?27687","ספרים באנגלית - Our Man in Dakar")</f>
        <v>ספרים באנגלית - Our Man in Dakar</v>
      </c>
    </row>
    <row r="1549" spans="1:5" x14ac:dyDescent="0.2">
      <c r="A1549" t="s">
        <v>2551</v>
      </c>
      <c r="B1549" t="e">
        <f>- Herman Rosenfeld, Dina</f>
        <v>#NAME?</v>
      </c>
      <c r="C1549" t="s">
        <v>119</v>
      </c>
      <c r="D1549" t="s">
        <v>8</v>
      </c>
      <c r="E1549" s="3" t="str">
        <f>HYPERLINK("http://www.otzar.org/book.asp?27869","ספרים באנגלית - A Tree Full Of Mitzvos")</f>
        <v>ספרים באנגלית - A Tree Full Of Mitzvos</v>
      </c>
    </row>
    <row r="1550" spans="1:5" x14ac:dyDescent="0.2">
      <c r="A1550" t="s">
        <v>2552</v>
      </c>
      <c r="B1550" t="e">
        <f>- Holtzberg, Avraham Yeshaya</f>
        <v>#NAME?</v>
      </c>
      <c r="C1550" t="s">
        <v>276</v>
      </c>
      <c r="D1550" t="s">
        <v>8</v>
      </c>
      <c r="E1550" s="3" t="str">
        <f>HYPERLINK("http://www.otzar.org/book.asp?27760","ספרים באנגלית - Kovetz Minhagim")</f>
        <v>ספרים באנגלית - Kovetz Minhagim</v>
      </c>
    </row>
    <row r="1551" spans="1:5" x14ac:dyDescent="0.2">
      <c r="A1551" t="s">
        <v>2553</v>
      </c>
      <c r="B1551" t="e">
        <f>- Hurwitz Smuel</f>
        <v>#NAME?</v>
      </c>
      <c r="C1551" t="s">
        <v>49</v>
      </c>
      <c r="D1551" t="s">
        <v>8</v>
      </c>
      <c r="E1551" s="3" t="str">
        <f>HYPERLINK("http://www.otzar.org/book.asp?146252","ספרים באנגלית - Lows and Customs of Chanukah")</f>
        <v>ספרים באנגלית - Lows and Customs of Chanukah</v>
      </c>
    </row>
    <row r="1552" spans="1:5" x14ac:dyDescent="0.2">
      <c r="A1552" t="s">
        <v>2554</v>
      </c>
      <c r="B1552" t="e">
        <f>- Kalmanson, Mendel</f>
        <v>#NAME?</v>
      </c>
      <c r="C1552" t="s">
        <v>52</v>
      </c>
      <c r="D1552" t="s">
        <v>816</v>
      </c>
      <c r="E1552" s="3" t="str">
        <f>HYPERLINK("http://www.otzar.org/book.asp?195733","ספרים באנגלית - Seeds of Wisdom")</f>
        <v>ספרים באנגלית - Seeds of Wisdom</v>
      </c>
    </row>
    <row r="1553" spans="1:5" x14ac:dyDescent="0.2">
      <c r="A1553" t="s">
        <v>2555</v>
      </c>
      <c r="B1553" t="e">
        <f>- Kalms, Peter</f>
        <v>#NAME?</v>
      </c>
      <c r="C1553" t="s">
        <v>165</v>
      </c>
      <c r="D1553" t="s">
        <v>816</v>
      </c>
      <c r="E1553" s="3" t="str">
        <f>HYPERLINK("http://www.otzar.org/book.asp?29249","ספרים באנגלית - The Founding of SHAMIR")</f>
        <v>ספרים באנגלית - The Founding of SHAMIR</v>
      </c>
    </row>
    <row r="1554" spans="1:5" x14ac:dyDescent="0.2">
      <c r="A1554" t="s">
        <v>2556</v>
      </c>
      <c r="B1554" t="e">
        <f>- Kaminetzky, Yosef Y</f>
        <v>#NAME?</v>
      </c>
      <c r="C1554" t="s">
        <v>165</v>
      </c>
      <c r="D1554" t="s">
        <v>8</v>
      </c>
      <c r="E1554" s="3" t="str">
        <f>HYPERLINK("http://www.otzar.org/book.asp?27819","ספרים באנגלית - Days in Chabad")</f>
        <v>ספרים באנגלית - Days in Chabad</v>
      </c>
    </row>
    <row r="1555" spans="1:5" x14ac:dyDescent="0.2">
      <c r="A1555" t="s">
        <v>2557</v>
      </c>
      <c r="B1555" t="e">
        <f>- Kaploun, Uri</f>
        <v>#NAME?</v>
      </c>
      <c r="C1555" t="s">
        <v>119</v>
      </c>
      <c r="D1555" t="s">
        <v>8</v>
      </c>
      <c r="E1555" s="3" t="str">
        <f>HYPERLINK("http://www.otzar.org/book.asp?27762","ספרים באנגלית - A Partner in the Dynamic of Creation")</f>
        <v>ספרים באנגלית - A Partner in the Dynamic of Creation</v>
      </c>
    </row>
    <row r="1556" spans="1:5" x14ac:dyDescent="0.2">
      <c r="A1556" t="s">
        <v>2558</v>
      </c>
      <c r="B1556" t="e">
        <f>- Karmely, Sarah</f>
        <v>#NAME?</v>
      </c>
      <c r="C1556" t="s">
        <v>148</v>
      </c>
      <c r="D1556" t="s">
        <v>8</v>
      </c>
      <c r="E1556" s="3" t="str">
        <f>HYPERLINK("http://www.otzar.org/book.asp?141681","ספרים באנגלית - Words to Hear With Your Heart")</f>
        <v>ספרים באנגלית - Words to Hear With Your Heart</v>
      </c>
    </row>
    <row r="1557" spans="1:5" x14ac:dyDescent="0.2">
      <c r="A1557" t="s">
        <v>2559</v>
      </c>
      <c r="B1557" t="e">
        <f>- Kehot Publication</f>
        <v>#NAME?</v>
      </c>
      <c r="C1557" t="s">
        <v>76</v>
      </c>
      <c r="D1557" t="s">
        <v>8</v>
      </c>
      <c r="E1557" s="3" t="str">
        <f>HYPERLINK("http://www.otzar.org/book.asp?140952","ספרים באנגלית - Forty Centuries")</f>
        <v>ספרים באנגלית - Forty Centuries</v>
      </c>
    </row>
    <row r="1558" spans="1:5" x14ac:dyDescent="0.2">
      <c r="A1558" t="s">
        <v>2560</v>
      </c>
      <c r="B1558" t="e">
        <f>- Kranz, Sarah</f>
        <v>#NAME?</v>
      </c>
      <c r="C1558" t="s">
        <v>39</v>
      </c>
      <c r="D1558" t="s">
        <v>19</v>
      </c>
      <c r="E1558" s="3" t="str">
        <f>HYPERLINK("http://www.otzar.org/book.asp?141682","ספרים באנגלית - My Father Was a Shliach")</f>
        <v>ספרים באנגלית - My Father Was a Shliach</v>
      </c>
    </row>
    <row r="1559" spans="1:5" x14ac:dyDescent="0.2">
      <c r="A1559" t="s">
        <v>2561</v>
      </c>
      <c r="B1559" t="e">
        <f>- Kranzler, Gershon</f>
        <v>#NAME?</v>
      </c>
      <c r="C1559" t="s">
        <v>276</v>
      </c>
      <c r="D1559" t="s">
        <v>8</v>
      </c>
      <c r="E1559" s="3" t="str">
        <f>HYPERLINK("http://www.otzar.org/book.asp?27791","ספרים באנגלית - 6 כר'")</f>
        <v>ספרים באנגלית - 6 כר'</v>
      </c>
    </row>
    <row r="1560" spans="1:5" x14ac:dyDescent="0.2">
      <c r="A1560" t="s">
        <v>2539</v>
      </c>
      <c r="B1560" t="e">
        <f>- Kremnizer, R. L</f>
        <v>#NAME?</v>
      </c>
      <c r="C1560" t="s">
        <v>129</v>
      </c>
      <c r="D1560" t="s">
        <v>8</v>
      </c>
      <c r="E1560" s="3" t="str">
        <f>HYPERLINK("http://www.otzar.org/book.asp?27678","ספרים באנגלית - 2 כר'")</f>
        <v>ספרים באנגלית - 2 כר'</v>
      </c>
    </row>
    <row r="1561" spans="1:5" x14ac:dyDescent="0.2">
      <c r="A1561" t="s">
        <v>2539</v>
      </c>
      <c r="B1561" t="e">
        <f>- Lebovics, Aydel</f>
        <v>#NAME?</v>
      </c>
      <c r="C1561" t="s">
        <v>60</v>
      </c>
      <c r="D1561" t="s">
        <v>8</v>
      </c>
      <c r="E1561" s="3" t="str">
        <f>HYPERLINK("http://www.otzar.org/book.asp?27879","ספרים באנגלית - 2 כר'")</f>
        <v>ספרים באנגלית - 2 כר'</v>
      </c>
    </row>
    <row r="1562" spans="1:5" x14ac:dyDescent="0.2">
      <c r="A1562" t="s">
        <v>2562</v>
      </c>
      <c r="B1562" t="e">
        <f>- Lehman, Marcus</f>
        <v>#NAME?</v>
      </c>
      <c r="C1562" t="s">
        <v>60</v>
      </c>
      <c r="D1562" t="s">
        <v>8</v>
      </c>
      <c r="E1562" s="3" t="str">
        <f>HYPERLINK("http://www.otzar.org/book.asp?27816","ספרים באנגלית - 5 כר'")</f>
        <v>ספרים באנגלית - 5 כר'</v>
      </c>
    </row>
    <row r="1563" spans="1:5" x14ac:dyDescent="0.2">
      <c r="A1563" t="s">
        <v>2539</v>
      </c>
      <c r="B1563" t="e">
        <f>- Lesches, Elchonon</f>
        <v>#NAME?</v>
      </c>
      <c r="C1563" t="s">
        <v>52</v>
      </c>
      <c r="D1563" t="s">
        <v>8</v>
      </c>
      <c r="E1563" s="3" t="str">
        <f>HYPERLINK("http://www.otzar.org/book.asp?27579","ספרים באנגלית - 2 כר'")</f>
        <v>ספרים באנגלית - 2 כר'</v>
      </c>
    </row>
    <row r="1564" spans="1:5" x14ac:dyDescent="0.2">
      <c r="A1564" t="s">
        <v>2563</v>
      </c>
      <c r="B1564" t="e">
        <f>- Liberman, Sarah</f>
        <v>#NAME?</v>
      </c>
      <c r="C1564" t="s">
        <v>111</v>
      </c>
      <c r="D1564" t="s">
        <v>8</v>
      </c>
      <c r="E1564" s="3" t="str">
        <f>HYPERLINK("http://www.otzar.org/book.asp?27872","ספרים באנגלית - A Trip To Mezuzah Land")</f>
        <v>ספרים באנגלית - A Trip To Mezuzah Land</v>
      </c>
    </row>
    <row r="1565" spans="1:5" x14ac:dyDescent="0.2">
      <c r="A1565" t="s">
        <v>2539</v>
      </c>
      <c r="B1565" t="e">
        <f>- Litzman, Tuvia</f>
        <v>#NAME?</v>
      </c>
      <c r="C1565" t="s">
        <v>165</v>
      </c>
      <c r="D1565" t="s">
        <v>323</v>
      </c>
      <c r="E1565" s="3" t="str">
        <f>HYPERLINK("http://www.otzar.org/book.asp?29244","ספרים באנגלית - 2 כר'")</f>
        <v>ספרים באנגלית - 2 כר'</v>
      </c>
    </row>
    <row r="1566" spans="1:5" x14ac:dyDescent="0.2">
      <c r="A1566" t="s">
        <v>2564</v>
      </c>
      <c r="B1566" t="e">
        <f>- Maieski, Shloma</f>
        <v>#NAME?</v>
      </c>
      <c r="C1566" t="s">
        <v>129</v>
      </c>
      <c r="D1566" t="s">
        <v>8</v>
      </c>
      <c r="E1566" s="3" t="str">
        <f>HYPERLINK("http://www.otzar.org/book.asp?27684","ספרים באנגלית - The Chassidic Approach To Joy")</f>
        <v>ספרים באנגלית - The Chassidic Approach To Joy</v>
      </c>
    </row>
    <row r="1567" spans="1:5" x14ac:dyDescent="0.2">
      <c r="A1567" t="s">
        <v>2565</v>
      </c>
      <c r="B1567" t="e">
        <f>- Meiseles, Shayna</f>
        <v>#NAME?</v>
      </c>
      <c r="C1567" t="s">
        <v>183</v>
      </c>
      <c r="D1567" t="s">
        <v>8</v>
      </c>
      <c r="E1567" s="3" t="str">
        <f>HYPERLINK("http://www.otzar.org/book.asp?27783","ספרים באנגלית - The Bat Mitzvah Claub")</f>
        <v>ספרים באנגלית - The Bat Mitzvah Claub</v>
      </c>
    </row>
    <row r="1568" spans="1:5" x14ac:dyDescent="0.2">
      <c r="A1568" t="s">
        <v>2566</v>
      </c>
      <c r="B1568" t="e">
        <f>- Mendelsohn, Aharon Zev</f>
        <v>#NAME?</v>
      </c>
      <c r="C1568" t="s">
        <v>165</v>
      </c>
      <c r="D1568" t="s">
        <v>8</v>
      </c>
      <c r="E1568" s="3" t="str">
        <f>HYPERLINK("http://www.otzar.org/book.asp?29241","ספרים באנגלית - The Rebbe")</f>
        <v>ספרים באנגלית - The Rebbe</v>
      </c>
    </row>
    <row r="1569" spans="1:5" x14ac:dyDescent="0.2">
      <c r="A1569" t="s">
        <v>2539</v>
      </c>
      <c r="B1569" t="e">
        <f>- Metzger, Alter B</f>
        <v>#NAME?</v>
      </c>
      <c r="C1569" t="s">
        <v>67</v>
      </c>
      <c r="D1569" t="s">
        <v>8</v>
      </c>
      <c r="E1569" s="3" t="str">
        <f>HYPERLINK("http://www.otzar.org/book.asp?27788","ספרים באנגלית - 2 כר'")</f>
        <v>ספרים באנגלית - 2 כר'</v>
      </c>
    </row>
    <row r="1570" spans="1:5" x14ac:dyDescent="0.2">
      <c r="A1570" t="s">
        <v>2567</v>
      </c>
      <c r="B1570" t="e">
        <f>- Mindel, Nissan</f>
        <v>#NAME?</v>
      </c>
      <c r="C1570" t="s">
        <v>76</v>
      </c>
      <c r="D1570" t="s">
        <v>8</v>
      </c>
      <c r="E1570" s="3" t="str">
        <f>HYPERLINK("http://www.otzar.org/book.asp?145471","ספרים באנגלית - 13 כר'")</f>
        <v>ספרים באנגלית - 13 כר'</v>
      </c>
    </row>
    <row r="1571" spans="1:5" x14ac:dyDescent="0.2">
      <c r="A1571" t="s">
        <v>2568</v>
      </c>
      <c r="B1571" t="e">
        <f>- Mishael A.</f>
        <v>#NAME?</v>
      </c>
      <c r="C1571" t="s">
        <v>488</v>
      </c>
      <c r="D1571" t="s">
        <v>8</v>
      </c>
      <c r="E1571" s="3" t="str">
        <f>HYPERLINK("http://www.otzar.org/book.asp?158859","ספרים באנגלית - The Rebbetzin")</f>
        <v>ספרים באנגלית - The Rebbetzin</v>
      </c>
    </row>
    <row r="1572" spans="1:5" x14ac:dyDescent="0.2">
      <c r="A1572" t="s">
        <v>2569</v>
      </c>
      <c r="B1572" t="e">
        <f>- Monthly magazine</f>
        <v>#NAME?</v>
      </c>
      <c r="C1572" t="s">
        <v>2570</v>
      </c>
      <c r="D1572" t="s">
        <v>8</v>
      </c>
      <c r="E1572" s="3" t="str">
        <f>HYPERLINK("http://www.otzar.org/book.asp?27303","ספרים באנגלית - 16 כר'")</f>
        <v>ספרים באנגלית - 16 כר'</v>
      </c>
    </row>
    <row r="1573" spans="1:5" x14ac:dyDescent="0.2">
      <c r="A1573" t="s">
        <v>2571</v>
      </c>
      <c r="B1573" t="e">
        <f>- Mr. Manchester</f>
        <v>#NAME?</v>
      </c>
      <c r="C1573" t="s">
        <v>477</v>
      </c>
      <c r="D1573" t="s">
        <v>2572</v>
      </c>
      <c r="E1573" s="3" t="str">
        <f>HYPERLINK("http://www.otzar.org/book.asp?29248","ספרים באנגלית - Mr. Manchester")</f>
        <v>ספרים באנגלית - Mr. Manchester</v>
      </c>
    </row>
    <row r="1574" spans="1:5" x14ac:dyDescent="0.2">
      <c r="A1574" t="s">
        <v>2573</v>
      </c>
      <c r="B1574" t="e">
        <f>- Neubort, Shimon - Translating</f>
        <v>#NAME?</v>
      </c>
      <c r="C1574" t="s">
        <v>213</v>
      </c>
      <c r="D1574" t="s">
        <v>8</v>
      </c>
      <c r="E1574" s="3" t="str">
        <f>HYPERLINK("http://www.otzar.org/book.asp?27796","ספרים באנגלית - Link in the Chassidic Legacy")</f>
        <v>ספרים באנגלית - Link in the Chassidic Legacy</v>
      </c>
    </row>
    <row r="1575" spans="1:5" x14ac:dyDescent="0.2">
      <c r="A1575" t="s">
        <v>2539</v>
      </c>
      <c r="B1575" t="e">
        <f>- Olidort, Baila</f>
        <v>#NAME?</v>
      </c>
      <c r="C1575" t="s">
        <v>31</v>
      </c>
      <c r="D1575" t="s">
        <v>8</v>
      </c>
      <c r="E1575" s="3" t="str">
        <f>HYPERLINK("http://www.otzar.org/book.asp?27804","ספרים באנגלית - 2 כר'")</f>
        <v>ספרים באנגלית - 2 כר'</v>
      </c>
    </row>
    <row r="1576" spans="1:5" x14ac:dyDescent="0.2">
      <c r="A1576" t="s">
        <v>2574</v>
      </c>
      <c r="B1576" t="e">
        <f>- Polter, Dovid Shraga</f>
        <v>#NAME?</v>
      </c>
      <c r="C1576" t="s">
        <v>327</v>
      </c>
      <c r="D1576" t="s">
        <v>8</v>
      </c>
      <c r="E1576" s="3" t="str">
        <f>HYPERLINK("http://www.otzar.org/book.asp?27682","ספרים באנגלית - 3 כר'")</f>
        <v>ספרים באנגלית - 3 כר'</v>
      </c>
    </row>
    <row r="1577" spans="1:5" x14ac:dyDescent="0.2">
      <c r="A1577" t="s">
        <v>2575</v>
      </c>
      <c r="B1577" t="e">
        <f>- Pozner, Zalman I</f>
        <v>#NAME?</v>
      </c>
      <c r="C1577" t="s">
        <v>165</v>
      </c>
      <c r="D1577" t="s">
        <v>8</v>
      </c>
      <c r="E1577" s="3" t="str">
        <f>HYPERLINK("http://www.otzar.org/book.asp?28740","ספרים באנגלית - Think Jewish")</f>
        <v>ספרים באנגלית - Think Jewish</v>
      </c>
    </row>
    <row r="1578" spans="1:5" x14ac:dyDescent="0.2">
      <c r="A1578" t="s">
        <v>2576</v>
      </c>
      <c r="B1578" t="e">
        <f>- Raskin, Aaron</f>
        <v>#NAME?</v>
      </c>
      <c r="C1578" t="s">
        <v>76</v>
      </c>
      <c r="D1578" t="s">
        <v>8</v>
      </c>
      <c r="E1578" s="3" t="str">
        <f>HYPERLINK("http://www.otzar.org/book.asp?27688","ספרים באנגלית - Letters of Light")</f>
        <v>ספרים באנגלית - Letters of Light</v>
      </c>
    </row>
    <row r="1579" spans="1:5" x14ac:dyDescent="0.2">
      <c r="A1579" t="s">
        <v>2577</v>
      </c>
      <c r="B1579" t="s">
        <v>2578</v>
      </c>
      <c r="C1579" t="s">
        <v>39</v>
      </c>
      <c r="D1579" t="s">
        <v>8</v>
      </c>
      <c r="E1579" s="3" t="str">
        <f>HYPERLINK("http://www.otzar.org/book.asp?141551","ספרים באנגלית - Mikveh")</f>
        <v>ספרים באנגלית - Mikveh</v>
      </c>
    </row>
    <row r="1580" spans="1:5" x14ac:dyDescent="0.2">
      <c r="A1580" t="s">
        <v>2579</v>
      </c>
      <c r="B1580" t="e">
        <f>- Rosenfeld Herman, Dina</f>
        <v>#NAME?</v>
      </c>
      <c r="C1580" t="s">
        <v>49</v>
      </c>
      <c r="D1580" t="s">
        <v>8</v>
      </c>
      <c r="E1580" s="3" t="str">
        <f>HYPERLINK("http://www.otzar.org/book.asp?27671","ספרים באנגלית - The Very Best Place For a Penny")</f>
        <v>ספרים באנגלית - The Very Best Place For a Penny</v>
      </c>
    </row>
    <row r="1581" spans="1:5" x14ac:dyDescent="0.2">
      <c r="A1581" t="s">
        <v>2580</v>
      </c>
      <c r="B1581" t="e">
        <f>- Rosenfeld, Dina</f>
        <v>#NAME?</v>
      </c>
      <c r="C1581" t="s">
        <v>155</v>
      </c>
      <c r="D1581" t="s">
        <v>8</v>
      </c>
      <c r="E1581" s="3" t="str">
        <f>HYPERLINK("http://www.otzar.org/book.asp?27670","ספרים באנגלית - Tiny Treasures")</f>
        <v>ספרים באנגלית - Tiny Treasures</v>
      </c>
    </row>
    <row r="1582" spans="1:5" x14ac:dyDescent="0.2">
      <c r="A1582" t="s">
        <v>2581</v>
      </c>
      <c r="B1582" t="e">
        <f>- Rubin, Yosef</f>
        <v>#NAME?</v>
      </c>
      <c r="C1582" t="s">
        <v>34</v>
      </c>
      <c r="D1582" t="s">
        <v>8</v>
      </c>
      <c r="E1582" s="3" t="str">
        <f>HYPERLINK("http://www.otzar.org/book.asp?168950","ספרים באנגלית - A Father to So Many Chassidim")</f>
        <v>ספרים באנגלית - A Father to So Many Chassidim</v>
      </c>
    </row>
    <row r="1583" spans="1:5" x14ac:dyDescent="0.2">
      <c r="A1583" t="s">
        <v>2574</v>
      </c>
      <c r="B1583" t="e">
        <f>- Ruderman, Zalman</f>
        <v>#NAME?</v>
      </c>
      <c r="C1583" t="s">
        <v>183</v>
      </c>
      <c r="D1583" t="s">
        <v>12</v>
      </c>
      <c r="E1583" s="3" t="str">
        <f>HYPERLINK("http://www.otzar.org/book.asp?27790","ספרים באנגלית - 3 כר'")</f>
        <v>ספרים באנגלית - 3 כר'</v>
      </c>
    </row>
    <row r="1584" spans="1:5" x14ac:dyDescent="0.2">
      <c r="A1584" t="s">
        <v>2582</v>
      </c>
      <c r="B1584" t="e">
        <f>- Rudolph, Lieba</f>
        <v>#NAME?</v>
      </c>
      <c r="C1584" t="s">
        <v>111</v>
      </c>
      <c r="D1584" t="s">
        <v>8</v>
      </c>
      <c r="E1584" s="3" t="str">
        <f>HYPERLINK("http://www.otzar.org/book.asp?27669","ספרים באנגלית - The Best Gall of All")</f>
        <v>ספרים באנגלית - The Best Gall of All</v>
      </c>
    </row>
    <row r="1585" spans="1:5" x14ac:dyDescent="0.2">
      <c r="A1585" t="s">
        <v>2583</v>
      </c>
      <c r="B1585" t="e">
        <f>- SHLICHUS</f>
        <v>#NAME?</v>
      </c>
      <c r="C1585" t="s">
        <v>129</v>
      </c>
      <c r="D1585" t="s">
        <v>8</v>
      </c>
      <c r="E1585" s="3" t="str">
        <f>HYPERLINK("http://www.otzar.org/book.asp?29246","ספרים באנגלית - SHLICHUS Outreach Insights")</f>
        <v>ספרים באנגלית - SHLICHUS Outreach Insights</v>
      </c>
    </row>
    <row r="1586" spans="1:5" x14ac:dyDescent="0.2">
      <c r="A1586" t="s">
        <v>2584</v>
      </c>
      <c r="B1586" t="e">
        <f>- Sacks, Jonathan</f>
        <v>#NAME?</v>
      </c>
      <c r="C1586" t="s">
        <v>18</v>
      </c>
      <c r="D1586" t="s">
        <v>8</v>
      </c>
      <c r="E1586" s="3" t="str">
        <f>HYPERLINK("http://www.otzar.org/book.asp?27799","ספרים באנגלית - Torah Studies")</f>
        <v>ספרים באנגלית - Torah Studies</v>
      </c>
    </row>
    <row r="1587" spans="1:5" x14ac:dyDescent="0.2">
      <c r="A1587" t="s">
        <v>2585</v>
      </c>
      <c r="B1587" t="e">
        <f>- Schneorson, Chana</f>
        <v>#NAME?</v>
      </c>
      <c r="C1587" t="s">
        <v>52</v>
      </c>
      <c r="D1587" t="s">
        <v>8</v>
      </c>
      <c r="E1587" s="3" t="str">
        <f>HYPERLINK("http://www.otzar.org/book.asp?27818","ספרים באנגלית - A Mother in Israel")</f>
        <v>ספרים באנגלית - A Mother in Israel</v>
      </c>
    </row>
    <row r="1588" spans="1:5" x14ac:dyDescent="0.2">
      <c r="A1588" t="s">
        <v>2586</v>
      </c>
      <c r="B1588" t="e">
        <f>- Schochet, Jacob Immanuel</f>
        <v>#NAME?</v>
      </c>
      <c r="C1588" t="s">
        <v>276</v>
      </c>
      <c r="D1588" t="s">
        <v>8</v>
      </c>
      <c r="E1588" s="3" t="str">
        <f>HYPERLINK("http://www.otzar.org/book.asp?27401","ספרים באנגלית - 7 כר'")</f>
        <v>ספרים באנגלית - 7 כר'</v>
      </c>
    </row>
    <row r="1589" spans="1:5" x14ac:dyDescent="0.2">
      <c r="A1589" t="s">
        <v>2587</v>
      </c>
      <c r="B1589" t="e">
        <f>- Schwartz, Malka</f>
        <v>#NAME?</v>
      </c>
      <c r="C1589" t="s">
        <v>76</v>
      </c>
      <c r="E1589" s="3" t="str">
        <f>HYPERLINK("http://www.otzar.org/book.asp?29264","ספרים באנגלית - Through You, Israel Will Be Blessed")</f>
        <v>ספרים באנגלית - Through You, Israel Will Be Blessed</v>
      </c>
    </row>
    <row r="1590" spans="1:5" x14ac:dyDescent="0.2">
      <c r="A1590" t="s">
        <v>2588</v>
      </c>
      <c r="B1590" t="e">
        <f>- Shanowitz, Zalman</f>
        <v>#NAME?</v>
      </c>
      <c r="C1590" t="s">
        <v>39</v>
      </c>
      <c r="D1590" t="s">
        <v>8</v>
      </c>
      <c r="E1590" s="3" t="str">
        <f>HYPERLINK("http://www.otzar.org/book.asp?141499","ספרים באנגלית - The Rebbe's Haggoda For Youth")</f>
        <v>ספרים באנגלית - The Rebbe's Haggoda For Youth</v>
      </c>
    </row>
    <row r="1591" spans="1:5" x14ac:dyDescent="0.2">
      <c r="A1591" t="s">
        <v>2589</v>
      </c>
      <c r="B1591" t="e">
        <f>- Shemtov, Ester Golda</f>
        <v>#NAME?</v>
      </c>
      <c r="C1591" t="s">
        <v>67</v>
      </c>
      <c r="D1591" t="s">
        <v>8</v>
      </c>
      <c r="E1591" s="3" t="str">
        <f>HYPERLINK("http://www.otzar.org/book.asp?27658","ספרים באנגלית - Mindy gets her Reward and other Stories")</f>
        <v>ספרים באנגלית - Mindy gets her Reward and other Stories</v>
      </c>
    </row>
    <row r="1592" spans="1:5" x14ac:dyDescent="0.2">
      <c r="A1592" t="s">
        <v>2539</v>
      </c>
      <c r="B1592" t="e">
        <f>- Stone, Abraham</f>
        <v>#NAME?</v>
      </c>
      <c r="C1592" t="s">
        <v>183</v>
      </c>
      <c r="D1592" t="s">
        <v>8</v>
      </c>
      <c r="E1592" s="3" t="str">
        <f>HYPERLINK("http://www.otzar.org/book.asp?27625","ספרים באנגלית - 2 כר'")</f>
        <v>ספרים באנגלית - 2 כר'</v>
      </c>
    </row>
    <row r="1593" spans="1:5" x14ac:dyDescent="0.2">
      <c r="A1593" t="s">
        <v>2590</v>
      </c>
      <c r="B1593" t="e">
        <f>- the Chabad - Lubavitch Exhibition</f>
        <v>#NAME?</v>
      </c>
      <c r="C1593" t="s">
        <v>213</v>
      </c>
      <c r="D1593" t="s">
        <v>8</v>
      </c>
      <c r="E1593" s="3" t="str">
        <f>HYPERLINK("http://www.otzar.org/book.asp?27603","ספרים באנגלית - The Chabad - Lubavitch Exhibition")</f>
        <v>ספרים באנגלית - The Chabad - Lubavitch Exhibition</v>
      </c>
    </row>
    <row r="1594" spans="1:5" x14ac:dyDescent="0.2">
      <c r="A1594" t="s">
        <v>2591</v>
      </c>
      <c r="B1594" t="e">
        <f>- the Rebbes</f>
        <v>#NAME?</v>
      </c>
      <c r="C1594" t="s">
        <v>477</v>
      </c>
      <c r="D1594" t="s">
        <v>12</v>
      </c>
      <c r="E1594" s="3" t="str">
        <f>HYPERLINK("http://www.otzar.org/book.asp?27803","ספרים באנגלית - The Rebbes")</f>
        <v>ספרים באנגלית - The Rebbes</v>
      </c>
    </row>
    <row r="1595" spans="1:5" x14ac:dyDescent="0.2">
      <c r="A1595" t="s">
        <v>2592</v>
      </c>
      <c r="B1595" t="e">
        <f>- the Victory of the Seforim</f>
        <v>#NAME?</v>
      </c>
      <c r="C1595" t="s">
        <v>86</v>
      </c>
      <c r="D1595" t="s">
        <v>8</v>
      </c>
      <c r="E1595" s="3" t="str">
        <f>HYPERLINK("http://www.otzar.org/book.asp?142686","ספרים באנגלית - Hei Teves Didan Notzach")</f>
        <v>ספרים באנגלית - Hei Teves Didan Notzach</v>
      </c>
    </row>
    <row r="1596" spans="1:5" x14ac:dyDescent="0.2">
      <c r="A1596" t="s">
        <v>2593</v>
      </c>
      <c r="B1596" t="s">
        <v>2594</v>
      </c>
      <c r="C1596" t="s">
        <v>73</v>
      </c>
      <c r="D1596" t="s">
        <v>80</v>
      </c>
      <c r="E1596" s="3" t="str">
        <f>HYPERLINK("http://www.otzar.org/book.asp?193146","ספרים באנגלית - Saturday Night, FULL MOON - 1")</f>
        <v>ספרים באנגלית - Saturday Night, FULL MOON - 1</v>
      </c>
    </row>
    <row r="1597" spans="1:5" x14ac:dyDescent="0.2">
      <c r="A1597" t="s">
        <v>2595</v>
      </c>
      <c r="B1597" t="e">
        <f>- To Touch the Divine</f>
        <v>#NAME?</v>
      </c>
      <c r="C1597" t="s">
        <v>58</v>
      </c>
      <c r="D1597" t="s">
        <v>8</v>
      </c>
      <c r="E1597" s="3" t="str">
        <f>HYPERLINK("http://www.otzar.org/book.asp?27404","ספרים באנגלית - To Touch The Divine")</f>
        <v>ספרים באנגלית - To Touch The Divine</v>
      </c>
    </row>
    <row r="1598" spans="1:5" x14ac:dyDescent="0.2">
      <c r="A1598" t="s">
        <v>2596</v>
      </c>
      <c r="B1598" t="e">
        <f>- Touger, Eliyahu</f>
        <v>#NAME?</v>
      </c>
      <c r="C1598" t="s">
        <v>67</v>
      </c>
      <c r="D1598" t="s">
        <v>8</v>
      </c>
      <c r="E1598" s="3" t="str">
        <f>HYPERLINK("http://www.otzar.org/book.asp?27683","ספרים באנגלית - 17 כר'")</f>
        <v>ספרים באנגלית - 17 כר'</v>
      </c>
    </row>
    <row r="1599" spans="1:5" x14ac:dyDescent="0.2">
      <c r="A1599" t="s">
        <v>2597</v>
      </c>
      <c r="B1599" t="e">
        <f>- Touger, Malka</f>
        <v>#NAME?</v>
      </c>
      <c r="C1599" t="s">
        <v>67</v>
      </c>
      <c r="D1599" t="s">
        <v>8</v>
      </c>
      <c r="E1599" s="3" t="str">
        <f>HYPERLINK("http://www.otzar.org/book.asp?27775","ספרים באנגלית - Please Tell Me What The Rebbe Said - 3")</f>
        <v>ספרים באנגלית - Please Tell Me What The Rebbe Said - 3</v>
      </c>
    </row>
    <row r="1600" spans="1:5" x14ac:dyDescent="0.2">
      <c r="A1600" t="s">
        <v>2598</v>
      </c>
      <c r="B1600" t="e">
        <f>- Wagshul, Yitzchok Dovid</f>
        <v>#NAME?</v>
      </c>
      <c r="C1600" t="s">
        <v>86</v>
      </c>
      <c r="D1600" t="s">
        <v>8</v>
      </c>
      <c r="E1600" s="3" t="str">
        <f>HYPERLINK("http://www.otzar.org/book.asp?142770","ספרים באנגלית - Words of the Living G-D")</f>
        <v>ספרים באנגלית - Words of the Living G-D</v>
      </c>
    </row>
    <row r="1601" spans="1:5" x14ac:dyDescent="0.2">
      <c r="A1601" t="s">
        <v>2562</v>
      </c>
      <c r="B1601" t="e">
        <f>- Wineberg, Sholom B</f>
        <v>#NAME?</v>
      </c>
      <c r="C1601" t="s">
        <v>18</v>
      </c>
      <c r="D1601" t="s">
        <v>8</v>
      </c>
      <c r="E1601" s="3" t="str">
        <f>HYPERLINK("http://www.otzar.org/book.asp?27633","ספרים באנגלית - 5 כר'")</f>
        <v>ספרים באנגלית - 5 כר'</v>
      </c>
    </row>
    <row r="1602" spans="1:5" x14ac:dyDescent="0.2">
      <c r="A1602" t="s">
        <v>2599</v>
      </c>
      <c r="B1602" t="e">
        <f>- Zuber-Sharfstein, Chana</f>
        <v>#NAME?</v>
      </c>
      <c r="C1602" t="s">
        <v>22</v>
      </c>
      <c r="D1602" t="s">
        <v>8</v>
      </c>
      <c r="E1602" s="3" t="str">
        <f>HYPERLINK("http://www.otzar.org/book.asp?27815","ספרים באנגלית - The Secret of Success")</f>
        <v>ספרים באנגלית - The Secret of Success</v>
      </c>
    </row>
    <row r="1603" spans="1:5" x14ac:dyDescent="0.2">
      <c r="A1603" t="s">
        <v>2600</v>
      </c>
      <c r="B1603" t="e">
        <f>- Goldman, yossy</f>
        <v>#NAME?</v>
      </c>
      <c r="C1603" t="s">
        <v>142</v>
      </c>
      <c r="D1603" t="s">
        <v>19</v>
      </c>
      <c r="E1603" s="3" t="str">
        <f>HYPERLINK("http://www.otzar.org/book.asp?618902","ספרים באנגלית - from where i stand")</f>
        <v>ספרים באנגלית - from where i stand</v>
      </c>
    </row>
    <row r="1604" spans="1:5" x14ac:dyDescent="0.2">
      <c r="A1604" t="s">
        <v>2601</v>
      </c>
      <c r="B1604" t="e">
        <f>- Kranzler, Gershon</f>
        <v>#NAME?</v>
      </c>
      <c r="C1604" t="s">
        <v>31</v>
      </c>
      <c r="D1604" t="s">
        <v>8</v>
      </c>
      <c r="E1604" s="3" t="str">
        <f>HYPERLINK("http://www.otzar.org/book.asp?27873","ספרים באנגלית - The Reunion")</f>
        <v>ספרים באנגלית - The Reunion</v>
      </c>
    </row>
    <row r="1605" spans="1:5" x14ac:dyDescent="0.2">
      <c r="A1605" t="s">
        <v>2539</v>
      </c>
      <c r="B1605" t="e">
        <f>- אבצן, שלום דוב בר</f>
        <v>#NAME?</v>
      </c>
      <c r="C1605" t="s">
        <v>73</v>
      </c>
      <c r="D1605" t="s">
        <v>8</v>
      </c>
      <c r="E1605" s="3" t="str">
        <f>HYPERLINK("http://www.otzar.org/book.asp?607980","ספרים באנגלית - 2 כר'")</f>
        <v>ספרים באנגלית - 2 כר'</v>
      </c>
    </row>
    <row r="1606" spans="1:5" x14ac:dyDescent="0.2">
      <c r="A1606" t="s">
        <v>2602</v>
      </c>
      <c r="B1606" t="e">
        <f>- אלבום</f>
        <v>#NAME?</v>
      </c>
      <c r="C1606" t="s">
        <v>82</v>
      </c>
      <c r="D1606" t="s">
        <v>8</v>
      </c>
      <c r="E1606" s="3" t="str">
        <f>HYPERLINK("http://www.otzar.org/book.asp?607644","ספרים באנגלית - The month of festivals in Lubavitch")</f>
        <v>ספרים באנגלית - The month of festivals in Lubavitch</v>
      </c>
    </row>
    <row r="1607" spans="1:5" x14ac:dyDescent="0.2">
      <c r="A1607" t="s">
        <v>2603</v>
      </c>
      <c r="B1607" t="e">
        <f>- אלפרוביץ, יוסף</f>
        <v>#NAME?</v>
      </c>
      <c r="C1607" t="s">
        <v>82</v>
      </c>
      <c r="D1607" t="s">
        <v>8</v>
      </c>
      <c r="E1607" s="3" t="str">
        <f>HYPERLINK("http://www.otzar.org/book.asp?607981","ספרים באנגלית - Pearls For the SHABBOS Table")</f>
        <v>ספרים באנגלית - Pearls For the SHABBOS Table</v>
      </c>
    </row>
    <row r="1608" spans="1:5" x14ac:dyDescent="0.2">
      <c r="A1608" t="s">
        <v>2604</v>
      </c>
      <c r="B1608" t="e">
        <f>- גדסי, שמעון</f>
        <v>#NAME?</v>
      </c>
      <c r="C1608" t="s">
        <v>82</v>
      </c>
      <c r="D1608" t="s">
        <v>12</v>
      </c>
      <c r="E1608" s="3" t="str">
        <f>HYPERLINK("http://www.otzar.org/book.asp?196244","ספרים באנגלית - Shmirat Hashabat")</f>
        <v>ספרים באנגלית - Shmirat Hashabat</v>
      </c>
    </row>
    <row r="1609" spans="1:5" x14ac:dyDescent="0.2">
      <c r="A1609" t="s">
        <v>2574</v>
      </c>
      <c r="B1609" t="e">
        <f>- גרונר, לוי</f>
        <v>#NAME?</v>
      </c>
      <c r="C1609" t="s">
        <v>73</v>
      </c>
      <c r="D1609" t="s">
        <v>12</v>
      </c>
      <c r="E1609" s="3" t="str">
        <f>HYPERLINK("http://www.otzar.org/book.asp?181513","ספרים באנגלית - 3 כר'")</f>
        <v>ספרים באנגלית - 3 כר'</v>
      </c>
    </row>
    <row r="1610" spans="1:5" x14ac:dyDescent="0.2">
      <c r="A1610" t="s">
        <v>2605</v>
      </c>
      <c r="B1610" t="e">
        <f>- הילסנרד, אריה זלמן</f>
        <v>#NAME?</v>
      </c>
      <c r="C1610" t="s">
        <v>276</v>
      </c>
      <c r="D1610" t="s">
        <v>8</v>
      </c>
      <c r="E1610" s="3" t="str">
        <f>HYPERLINK("http://www.otzar.org/book.asp?27207","ספרים באנגלית - The BAAL SHEM TOV")</f>
        <v>ספרים באנגלית - The BAAL SHEM TOV</v>
      </c>
    </row>
    <row r="1611" spans="1:5" x14ac:dyDescent="0.2">
      <c r="A1611" t="s">
        <v>2606</v>
      </c>
      <c r="B1611" t="e">
        <f>- וולף, אפרים</f>
        <v>#NAME?</v>
      </c>
      <c r="C1611" t="s">
        <v>76</v>
      </c>
      <c r="D1611" t="s">
        <v>8</v>
      </c>
      <c r="E1611" s="3" t="str">
        <f>HYPERLINK("http://www.otzar.org/book.asp?607751","ספרים באנגלית - The Ambassador to the Holy Land")</f>
        <v>ספרים באנגלית - The Ambassador to the Holy Land</v>
      </c>
    </row>
    <row r="1612" spans="1:5" x14ac:dyDescent="0.2">
      <c r="A1612" t="s">
        <v>2544</v>
      </c>
      <c r="B1612" t="e">
        <f>- ויינברג, יוסף</f>
        <v>#NAME?</v>
      </c>
      <c r="C1612" t="s">
        <v>327</v>
      </c>
      <c r="D1612" t="s">
        <v>8</v>
      </c>
      <c r="E1612" s="3" t="str">
        <f>HYPERLINK("http://www.otzar.org/book.asp?27182","ספרים באנגלית - 4 כר'")</f>
        <v>ספרים באנגלית - 4 כר'</v>
      </c>
    </row>
    <row r="1613" spans="1:5" x14ac:dyDescent="0.2">
      <c r="A1613" t="s">
        <v>2607</v>
      </c>
      <c r="B1613" t="e">
        <f>- טוגר, אליהו</f>
        <v>#NAME?</v>
      </c>
      <c r="C1613" t="s">
        <v>34</v>
      </c>
      <c r="D1613" t="s">
        <v>8</v>
      </c>
      <c r="E1613" s="3" t="str">
        <f>HYPERLINK("http://www.otzar.org/book.asp?168972","ספרים באנגלית - When Every Moment Is Percious")</f>
        <v>ספרים באנגלית - When Every Moment Is Percious</v>
      </c>
    </row>
    <row r="1614" spans="1:5" x14ac:dyDescent="0.2">
      <c r="A1614" t="s">
        <v>2608</v>
      </c>
      <c r="B1614" t="s">
        <v>2609</v>
      </c>
      <c r="C1614" t="s">
        <v>111</v>
      </c>
      <c r="D1614" t="s">
        <v>8</v>
      </c>
      <c r="E1614" s="3" t="str">
        <f>HYPERLINK("http://www.otzar.org/book.asp?27848","ספרים באנגלית - Tzava'at HaRivash")</f>
        <v>ספרים באנגלית - Tzava'at HaRivash</v>
      </c>
    </row>
    <row r="1615" spans="1:5" x14ac:dyDescent="0.2">
      <c r="A1615" t="s">
        <v>2610</v>
      </c>
      <c r="B1615" t="e">
        <f>- כולנו כאחד</f>
        <v>#NAME?</v>
      </c>
      <c r="C1615" t="s">
        <v>213</v>
      </c>
      <c r="D1615" t="s">
        <v>19</v>
      </c>
      <c r="E1615" s="3" t="str">
        <f>HYPERLINK("http://www.otzar.org/book.asp?146195","ספרים באנגלית - כולנו כאחד")</f>
        <v>ספרים באנגלית - כולנו כאחד</v>
      </c>
    </row>
    <row r="1616" spans="1:5" x14ac:dyDescent="0.2">
      <c r="A1616" t="s">
        <v>2611</v>
      </c>
      <c r="B1616" t="s">
        <v>2612</v>
      </c>
      <c r="C1616" t="s">
        <v>477</v>
      </c>
      <c r="D1616" t="s">
        <v>8</v>
      </c>
      <c r="E1616" s="3" t="str">
        <f>HYPERLINK("http://www.otzar.org/book.asp?145785","ספרים באנגלית - לוח שנת התש""ג")</f>
        <v>ספרים באנגלית - לוח שנת התש"ג</v>
      </c>
    </row>
    <row r="1617" spans="1:5" x14ac:dyDescent="0.2">
      <c r="A1617" t="s">
        <v>2613</v>
      </c>
      <c r="B1617" t="s">
        <v>2614</v>
      </c>
      <c r="C1617" t="s">
        <v>152</v>
      </c>
      <c r="D1617" t="s">
        <v>8</v>
      </c>
      <c r="E1617" s="3" t="str">
        <f>HYPERLINK("http://www.otzar.org/book.asp?27868","ספרים באנגלית - Sefer Haminhagim")</f>
        <v>ספרים באנגלית - Sefer Haminhagim</v>
      </c>
    </row>
    <row r="1618" spans="1:5" x14ac:dyDescent="0.2">
      <c r="A1618" t="s">
        <v>2539</v>
      </c>
      <c r="B1618" t="e">
        <f>- מרכוס, יוסף</f>
        <v>#NAME?</v>
      </c>
      <c r="C1618" t="s">
        <v>191</v>
      </c>
      <c r="D1618" t="s">
        <v>8</v>
      </c>
      <c r="E1618" s="3" t="str">
        <f>HYPERLINK("http://www.otzar.org/book.asp?150683","ספרים באנגלית - 2 כר'")</f>
        <v>ספרים באנגלית - 2 כר'</v>
      </c>
    </row>
    <row r="1619" spans="1:5" x14ac:dyDescent="0.2">
      <c r="A1619" t="s">
        <v>2615</v>
      </c>
      <c r="B1619" t="s">
        <v>2616</v>
      </c>
      <c r="C1619" t="s">
        <v>76</v>
      </c>
      <c r="D1619" t="s">
        <v>19</v>
      </c>
      <c r="E1619" s="3" t="str">
        <f>HYPERLINK("http://www.otzar.org/book.asp?607999","ספרים באנגלית - Perspectives")</f>
        <v>ספרים באנגלית - Perspectives</v>
      </c>
    </row>
    <row r="1620" spans="1:5" x14ac:dyDescent="0.2">
      <c r="A1620" t="s">
        <v>2617</v>
      </c>
      <c r="B1620" t="e">
        <f>- פוזנר, זלמן</f>
        <v>#NAME?</v>
      </c>
      <c r="C1620" t="s">
        <v>82</v>
      </c>
      <c r="D1620" t="s">
        <v>8</v>
      </c>
      <c r="E1620" s="3" t="str">
        <f>HYPERLINK("http://www.otzar.org/book.asp?607982","ספרים באנגלית - SAYING TEHILLIM")</f>
        <v>ספרים באנגלית - SAYING TEHILLIM</v>
      </c>
    </row>
    <row r="1621" spans="1:5" x14ac:dyDescent="0.2">
      <c r="A1621" t="s">
        <v>2618</v>
      </c>
      <c r="B1621" t="e">
        <f>- פולטורק, אלכסנדר</f>
        <v>#NAME?</v>
      </c>
      <c r="C1621" t="s">
        <v>11</v>
      </c>
      <c r="D1621" t="s">
        <v>8</v>
      </c>
      <c r="E1621" s="3" t="str">
        <f>HYPERLINK("http://www.otzar.org/book.asp?167727","ספרים באנגלית - A LIGHT UNTO MY PATH")</f>
        <v>ספרים באנגלית - A LIGHT UNTO MY PATH</v>
      </c>
    </row>
    <row r="1622" spans="1:5" x14ac:dyDescent="0.2">
      <c r="A1622" t="s">
        <v>2619</v>
      </c>
      <c r="B1622" t="e">
        <f>- פרידמן, אליהו</f>
        <v>#NAME?</v>
      </c>
      <c r="C1622" t="s">
        <v>34</v>
      </c>
      <c r="D1622" t="s">
        <v>8</v>
      </c>
      <c r="E1622" s="3" t="str">
        <f>HYPERLINK("http://www.otzar.org/book.asp?169092","ספרים באנגלית - The Educator's Privilege")</f>
        <v>ספרים באנגלית - The Educator's Privilege</v>
      </c>
    </row>
    <row r="1623" spans="1:5" x14ac:dyDescent="0.2">
      <c r="A1623" t="s">
        <v>2620</v>
      </c>
      <c r="B1623" t="e">
        <f>- שינאורסון, שמואל בן מנחם מנדל</f>
        <v>#NAME?</v>
      </c>
      <c r="C1623" t="s">
        <v>191</v>
      </c>
      <c r="D1623" t="s">
        <v>8</v>
      </c>
      <c r="E1623" s="3" t="str">
        <f>HYPERLINK("http://www.otzar.org/book.asp?168981","ספרים באנגלית - מאמר להבין ענין ראש חודש תר""מ")</f>
        <v>ספרים באנגלית - מאמר להבין ענין ראש חודש תר"מ</v>
      </c>
    </row>
    <row r="1624" spans="1:5" x14ac:dyDescent="0.2">
      <c r="A1624" t="s">
        <v>2561</v>
      </c>
      <c r="B1624" t="e">
        <f>- שניאור זלמן בן ברוך מלאדי</f>
        <v>#NAME?</v>
      </c>
      <c r="C1624" t="s">
        <v>928</v>
      </c>
      <c r="D1624" t="s">
        <v>8</v>
      </c>
      <c r="E1624" s="3" t="str">
        <f>HYPERLINK("http://www.otzar.org/book.asp?146205","ספרים באנגלית - 6 כר'")</f>
        <v>ספרים באנגלית - 6 כר'</v>
      </c>
    </row>
    <row r="1625" spans="1:5" x14ac:dyDescent="0.2">
      <c r="A1625" t="s">
        <v>2539</v>
      </c>
      <c r="B1625" t="e">
        <f>- שניאורי, דוב בר בן שניאור זלמן</f>
        <v>#NAME?</v>
      </c>
      <c r="C1625" t="s">
        <v>34</v>
      </c>
      <c r="D1625" t="s">
        <v>8</v>
      </c>
      <c r="E1625" s="3" t="str">
        <f>HYPERLINK("http://www.otzar.org/book.asp?168969","ספרים באנגלית - 2 כר'")</f>
        <v>ספרים באנגלית - 2 כר'</v>
      </c>
    </row>
    <row r="1626" spans="1:5" x14ac:dyDescent="0.2">
      <c r="A1626" t="s">
        <v>2574</v>
      </c>
      <c r="B1626" t="e">
        <f>- שניאורסון מנחם מנדל בן לוי יצחק</f>
        <v>#NAME?</v>
      </c>
      <c r="C1626" t="s">
        <v>52</v>
      </c>
      <c r="D1626" t="s">
        <v>8</v>
      </c>
      <c r="E1626" s="3" t="str">
        <f>HYPERLINK("http://www.otzar.org/book.asp?27850","ספרים באנגלית - 3 כר'")</f>
        <v>ספרים באנגלית - 3 כר'</v>
      </c>
    </row>
    <row r="1627" spans="1:5" x14ac:dyDescent="0.2">
      <c r="A1627" t="s">
        <v>2585</v>
      </c>
      <c r="B1627" t="e">
        <f>- שניאורסון, חנה</f>
        <v>#NAME?</v>
      </c>
      <c r="C1627" t="s">
        <v>301</v>
      </c>
      <c r="D1627" t="s">
        <v>12</v>
      </c>
      <c r="E1627" s="3" t="str">
        <f>HYPERLINK("http://www.otzar.org/book.asp?141655","ספרים באנגלית - A Mother in Israel")</f>
        <v>ספרים באנגלית - A Mother in Israel</v>
      </c>
    </row>
    <row r="1628" spans="1:5" x14ac:dyDescent="0.2">
      <c r="A1628" t="s">
        <v>2621</v>
      </c>
      <c r="B1628" t="e">
        <f>- שניאורסון, יוסף יצחק בן שלום דוב בר</f>
        <v>#NAME?</v>
      </c>
      <c r="C1628" t="s">
        <v>213</v>
      </c>
      <c r="D1628" t="s">
        <v>8</v>
      </c>
      <c r="E1628" s="3" t="str">
        <f>HYPERLINK("http://www.otzar.org/book.asp?27637","ספרים באנגלית - 15 כר'")</f>
        <v>ספרים באנגלית - 15 כר'</v>
      </c>
    </row>
    <row r="1629" spans="1:5" x14ac:dyDescent="0.2">
      <c r="A1629" t="s">
        <v>2622</v>
      </c>
      <c r="B1629" t="e">
        <f>- שניאורסון, יוסף יצחק</f>
        <v>#NAME?</v>
      </c>
      <c r="C1629" t="s">
        <v>11</v>
      </c>
      <c r="D1629" t="s">
        <v>8</v>
      </c>
      <c r="E1629" s="3" t="str">
        <f>HYPERLINK("http://www.otzar.org/book.asp?162765","ספרים באנגלית - S'efer Ha  si'hot")</f>
        <v>ספרים באנגלית - S'efer Ha  si'hot</v>
      </c>
    </row>
    <row r="1630" spans="1:5" x14ac:dyDescent="0.2">
      <c r="A1630" t="s">
        <v>2623</v>
      </c>
      <c r="B1630" t="e">
        <f>- שניאורסון, מנחם מנדל בן לוי יצחק</f>
        <v>#NAME?</v>
      </c>
      <c r="C1630" t="s">
        <v>11</v>
      </c>
      <c r="D1630" t="s">
        <v>8</v>
      </c>
      <c r="E1630" s="3" t="str">
        <f>HYPERLINK("http://www.otzar.org/book.asp?162858","ספרים באנגלית - 28 כר'")</f>
        <v>ספרים באנגלית - 28 כר'</v>
      </c>
    </row>
    <row r="1631" spans="1:5" x14ac:dyDescent="0.2">
      <c r="A1631" t="s">
        <v>2624</v>
      </c>
      <c r="B1631" t="e">
        <f>- שניאורסון, מנחם מנדל בן לוי</f>
        <v>#NAME?</v>
      </c>
      <c r="C1631" t="s">
        <v>928</v>
      </c>
      <c r="D1631" t="s">
        <v>8</v>
      </c>
      <c r="E1631" s="3" t="str">
        <f>HYPERLINK("http://www.otzar.org/book.asp?146030","ספרים באנגלית - 8 כר'")</f>
        <v>ספרים באנגלית - 8 כר'</v>
      </c>
    </row>
    <row r="1632" spans="1:5" x14ac:dyDescent="0.2">
      <c r="A1632" t="s">
        <v>2625</v>
      </c>
      <c r="B1632" t="e">
        <f>- שניאורסון, מנחם מנדל בן שלום שכנא</f>
        <v>#NAME?</v>
      </c>
      <c r="C1632" t="s">
        <v>67</v>
      </c>
      <c r="D1632" t="s">
        <v>8</v>
      </c>
      <c r="E1632" s="3" t="str">
        <f>HYPERLINK("http://www.otzar.org/book.asp?158888","ספרים באנגלית - מצות אהבת ישראל")</f>
        <v>ספרים באנגלית - מצות אהבת ישראל</v>
      </c>
    </row>
    <row r="1633" spans="1:5" x14ac:dyDescent="0.2">
      <c r="A1633" t="s">
        <v>2626</v>
      </c>
      <c r="B1633" t="e">
        <f>- שניאורסון, שלום דוב בר בן שמואל</f>
        <v>#NAME?</v>
      </c>
      <c r="C1633" t="s">
        <v>276</v>
      </c>
      <c r="D1633" t="s">
        <v>8</v>
      </c>
      <c r="E1633" s="3" t="str">
        <f>HYPERLINK("http://www.otzar.org/book.asp?27209","ספרים באנגלית - 9 כר'")</f>
        <v>ספרים באנגלית - 9 כר'</v>
      </c>
    </row>
    <row r="1634" spans="1:5" x14ac:dyDescent="0.2">
      <c r="A1634" t="s">
        <v>2574</v>
      </c>
      <c r="B1634" t="e">
        <f>- שניאורסון, שמואל בן מנחם מנדל</f>
        <v>#NAME?</v>
      </c>
      <c r="C1634" t="s">
        <v>183</v>
      </c>
      <c r="D1634" t="s">
        <v>8</v>
      </c>
      <c r="E1634" s="3" t="str">
        <f>HYPERLINK("http://www.otzar.org/book.asp?27756","ספרים באנגלית - 3 כר'")</f>
        <v>ספרים באנגלית - 3 כר'</v>
      </c>
    </row>
    <row r="1635" spans="1:5" x14ac:dyDescent="0.2">
      <c r="A1635" t="s">
        <v>2627</v>
      </c>
      <c r="B1635" t="e">
        <f>- שניארוסון, מנחם מנדל בן לוי יצחק</f>
        <v>#NAME?</v>
      </c>
      <c r="C1635" t="s">
        <v>31</v>
      </c>
      <c r="D1635" t="s">
        <v>8</v>
      </c>
      <c r="E1635" s="3" t="str">
        <f>HYPERLINK("http://www.otzar.org/book.asp?27578","ספרים באנגלית - I Await His Coming Every Day")</f>
        <v>ספרים באנגלית - I Await His Coming Every Day</v>
      </c>
    </row>
    <row r="1636" spans="1:5" x14ac:dyDescent="0.2">
      <c r="A1636" t="s">
        <v>2628</v>
      </c>
      <c r="B1636" t="s">
        <v>2629</v>
      </c>
      <c r="C1636" t="s">
        <v>201</v>
      </c>
      <c r="D1636" t="s">
        <v>19</v>
      </c>
      <c r="E1636" s="3" t="str">
        <f>HYPERLINK("http://www.otzar.org/book.asp?146220","ספרים באנגלית - 34 כר'")</f>
        <v>ספרים באנגלית - 34 כר'</v>
      </c>
    </row>
    <row r="1637" spans="1:5" x14ac:dyDescent="0.2">
      <c r="A1637" t="s">
        <v>2630</v>
      </c>
      <c r="B1637" t="s">
        <v>2631</v>
      </c>
      <c r="C1637" t="s">
        <v>148</v>
      </c>
      <c r="D1637" t="s">
        <v>40</v>
      </c>
      <c r="E1637" s="3" t="str">
        <f>HYPERLINK("http://www.otzar.org/book.asp?144097","ספרים בספרדית - בנתיבות הנצח")</f>
        <v>ספרים בספרדית - בנתיבות הנצח</v>
      </c>
    </row>
    <row r="1638" spans="1:5" x14ac:dyDescent="0.2">
      <c r="A1638" t="s">
        <v>2632</v>
      </c>
      <c r="B1638" t="e">
        <f>- כי טוב, אליהו</f>
        <v>#NAME?</v>
      </c>
      <c r="C1638" t="s">
        <v>67</v>
      </c>
      <c r="D1638" t="s">
        <v>272</v>
      </c>
      <c r="E1638" s="3" t="str">
        <f>HYPERLINK("http://www.otzar.org/book.asp?150682","ספרים בספרדית - Nostros en el TIEMPO")</f>
        <v>ספרים בספרדית - Nostros en el TIEMPO</v>
      </c>
    </row>
    <row r="1639" spans="1:5" x14ac:dyDescent="0.2">
      <c r="A1639" t="s">
        <v>2633</v>
      </c>
      <c r="B1639" t="s">
        <v>2634</v>
      </c>
      <c r="C1639" t="s">
        <v>15</v>
      </c>
      <c r="D1639" t="s">
        <v>8</v>
      </c>
      <c r="E1639" s="3" t="str">
        <f>HYPERLINK("http://www.otzar.org/book.asp?607682","ספרים בספרדית - 2 כר'")</f>
        <v>ספרים בספרדית - 2 כר'</v>
      </c>
    </row>
    <row r="1640" spans="1:5" x14ac:dyDescent="0.2">
      <c r="A1640" t="s">
        <v>2635</v>
      </c>
      <c r="B1640" t="s">
        <v>2636</v>
      </c>
      <c r="C1640" t="s">
        <v>34</v>
      </c>
      <c r="D1640" t="s">
        <v>2462</v>
      </c>
      <c r="E1640" s="3" t="str">
        <f>HYPERLINK("http://www.otzar.org/book.asp?157298","ספרים בצרפתית - Deux Ames Juives")</f>
        <v>ספרים בצרפתית - Deux Ames Juives</v>
      </c>
    </row>
    <row r="1641" spans="1:5" x14ac:dyDescent="0.2">
      <c r="A1641" t="s">
        <v>2637</v>
      </c>
      <c r="B1641" t="e">
        <f>- Lehmann Marcus</f>
        <v>#NAME?</v>
      </c>
      <c r="C1641" t="s">
        <v>165</v>
      </c>
      <c r="D1641" t="s">
        <v>8</v>
      </c>
      <c r="E1641" s="3" t="str">
        <f>HYPERLINK("http://www.otzar.org/book.asp?150687","ספרים בצרפתית - Pirke Avot")</f>
        <v>ספרים בצרפתית - Pirke Avot</v>
      </c>
    </row>
    <row r="1642" spans="1:5" x14ac:dyDescent="0.2">
      <c r="A1642" t="s">
        <v>2638</v>
      </c>
      <c r="B1642" t="e">
        <f>- ווניפסקי, משה</f>
        <v>#NAME?</v>
      </c>
      <c r="C1642" t="s">
        <v>15</v>
      </c>
      <c r="D1642" t="s">
        <v>8</v>
      </c>
      <c r="E1642" s="3" t="str">
        <f>HYPERLINK("http://www.otzar.org/book.asp?606912","ספרים בצרפתית - SAGESSE AU QUOTIDIEN")</f>
        <v>ספרים בצרפתית - SAGESSE AU QUOTIDIEN</v>
      </c>
    </row>
    <row r="1643" spans="1:5" x14ac:dyDescent="0.2">
      <c r="A1643" t="s">
        <v>2639</v>
      </c>
      <c r="B1643" t="e">
        <f>- מינדל, ניסן</f>
        <v>#NAME?</v>
      </c>
      <c r="C1643" t="s">
        <v>11</v>
      </c>
      <c r="D1643" t="s">
        <v>2462</v>
      </c>
      <c r="E1643" s="3" t="str">
        <f>HYPERLINK("http://www.otzar.org/book.asp?162885","ספרים בצרפתית - TICHRI")</f>
        <v>ספרים בצרפתית - TICHRI</v>
      </c>
    </row>
    <row r="1644" spans="1:5" x14ac:dyDescent="0.2">
      <c r="A1644" t="s">
        <v>2640</v>
      </c>
      <c r="B1644" t="e">
        <f>- שניאור זלמן בן ברוך מלאדי</f>
        <v>#NAME?</v>
      </c>
      <c r="C1644" t="s">
        <v>119</v>
      </c>
      <c r="D1644" t="s">
        <v>2462</v>
      </c>
      <c r="E1644" s="3" t="str">
        <f>HYPERLINK("http://www.otzar.org/book.asp?147682","ספרים בצרפתית - LECONS DE TANYA")</f>
        <v>ספרים בצרפתית - LECONS DE TANYA</v>
      </c>
    </row>
    <row r="1645" spans="1:5" x14ac:dyDescent="0.2">
      <c r="A1645" t="s">
        <v>2641</v>
      </c>
      <c r="B1645" t="e">
        <f>- שניאורסון, מנחם מנדל בן לוי יצחק</f>
        <v>#NAME?</v>
      </c>
      <c r="C1645" t="s">
        <v>191</v>
      </c>
      <c r="D1645" t="s">
        <v>2462</v>
      </c>
      <c r="E1645" s="3" t="str">
        <f>HYPERLINK("http://www.otzar.org/book.asp?158891","ספרים בצרפתית - 6 כר'")</f>
        <v>ספרים בצרפתית - 6 כר'</v>
      </c>
    </row>
    <row r="1646" spans="1:5" x14ac:dyDescent="0.2">
      <c r="A1646" t="s">
        <v>2642</v>
      </c>
      <c r="B1646" t="s">
        <v>2629</v>
      </c>
      <c r="C1646" t="s">
        <v>86</v>
      </c>
      <c r="D1646" t="s">
        <v>380</v>
      </c>
      <c r="E1646" s="3" t="str">
        <f>HYPERLINK("http://www.otzar.org/book.asp?600297","ספרים בצרפתית - 8 כר'")</f>
        <v>ספרים בצרפתית - 8 כר'</v>
      </c>
    </row>
    <row r="1647" spans="1:5" x14ac:dyDescent="0.2">
      <c r="A1647" t="s">
        <v>2643</v>
      </c>
      <c r="B1647" t="s">
        <v>30</v>
      </c>
      <c r="C1647" t="s">
        <v>73</v>
      </c>
      <c r="D1647" t="s">
        <v>1942</v>
      </c>
      <c r="E1647" s="3" t="str">
        <f>HYPERLINK("http://www.otzar.org/book.asp?181521","ספרים בצרפתית - אגרות קודש ב")</f>
        <v>ספרים בצרפתית - אגרות קודש ב</v>
      </c>
    </row>
    <row r="1648" spans="1:5" x14ac:dyDescent="0.2">
      <c r="A1648" t="s">
        <v>2644</v>
      </c>
      <c r="C1648" t="s">
        <v>44</v>
      </c>
      <c r="D1648" t="s">
        <v>40</v>
      </c>
      <c r="E1648" s="3" t="str">
        <f>HYPERLINK("http://www.otzar.org/book.asp?181509","ספרים ברוסית - 2 כר'")</f>
        <v>ספרים ברוסית - 2 כר'</v>
      </c>
    </row>
    <row r="1649" spans="1:5" x14ac:dyDescent="0.2">
      <c r="A1649" t="s">
        <v>2645</v>
      </c>
      <c r="B1649" t="e">
        <f>- Isaacs, Jacob</f>
        <v>#NAME?</v>
      </c>
      <c r="C1649" t="s">
        <v>67</v>
      </c>
      <c r="D1649" t="s">
        <v>8</v>
      </c>
      <c r="E1649" s="3" t="str">
        <f>HYPERLINK("http://www.otzar.org/book.asp?141622","ספרים ברוסית - הסטוריה של העם היהודי")</f>
        <v>ספרים ברוסית - הסטוריה של העם היהודי</v>
      </c>
    </row>
    <row r="1650" spans="1:5" x14ac:dyDescent="0.2">
      <c r="A1650" t="s">
        <v>2646</v>
      </c>
      <c r="B1650" t="e">
        <f>- Waldman, David</f>
        <v>#NAME?</v>
      </c>
      <c r="C1650" t="s">
        <v>201</v>
      </c>
      <c r="D1650" t="s">
        <v>8</v>
      </c>
      <c r="E1650" s="3" t="str">
        <f>HYPERLINK("http://www.otzar.org/book.asp?145730","ספרים ברוסית - הרמב""ם")</f>
        <v>ספרים ברוסית - הרמב"ם</v>
      </c>
    </row>
    <row r="1651" spans="1:5" x14ac:dyDescent="0.2">
      <c r="A1651" t="s">
        <v>2644</v>
      </c>
      <c r="B1651" t="e">
        <f>- בן אפרים, אריה</f>
        <v>#NAME?</v>
      </c>
      <c r="C1651" t="s">
        <v>165</v>
      </c>
      <c r="D1651" t="s">
        <v>8</v>
      </c>
      <c r="E1651" s="3" t="str">
        <f>HYPERLINK("http://www.otzar.org/book.asp?29265","ספרים ברוסית - 2 כר'")</f>
        <v>ספרים ברוסית - 2 כר'</v>
      </c>
    </row>
    <row r="1652" spans="1:5" x14ac:dyDescent="0.2">
      <c r="A1652" t="s">
        <v>2644</v>
      </c>
      <c r="B1652" t="e">
        <f>- ברנובר, ירמיהו (עורך)</f>
        <v>#NAME?</v>
      </c>
      <c r="C1652" t="s">
        <v>327</v>
      </c>
      <c r="D1652" t="s">
        <v>8</v>
      </c>
      <c r="E1652" s="3" t="str">
        <f>HYPERLINK("http://www.otzar.org/book.asp?29267","ספרים ברוסית - 2 כר'")</f>
        <v>ספרים ברוסית - 2 כר'</v>
      </c>
    </row>
    <row r="1653" spans="1:5" x14ac:dyDescent="0.2">
      <c r="A1653" t="s">
        <v>2647</v>
      </c>
      <c r="B1653" t="e">
        <f>- וישצקי, דינה (עורכת)</f>
        <v>#NAME?</v>
      </c>
      <c r="C1653" t="s">
        <v>327</v>
      </c>
      <c r="D1653" t="s">
        <v>2648</v>
      </c>
      <c r="E1653" s="3" t="str">
        <f>HYPERLINK("http://www.otzar.org/book.asp?29266","ספרים ברוסית - שיחות על התורה מעובדות לילדים")</f>
        <v>ספרים ברוסית - שיחות על התורה מעובדות לילדים</v>
      </c>
    </row>
    <row r="1654" spans="1:5" x14ac:dyDescent="0.2">
      <c r="A1654" t="s">
        <v>2646</v>
      </c>
      <c r="B1654" t="e">
        <f>- ולדמן, דוד</f>
        <v>#NAME?</v>
      </c>
      <c r="C1654" t="s">
        <v>201</v>
      </c>
      <c r="D1654" t="s">
        <v>8</v>
      </c>
      <c r="E1654" s="3" t="str">
        <f>HYPERLINK("http://www.otzar.org/book.asp?164206","ספרים ברוסית - הרמב""ם")</f>
        <v>ספרים ברוסית - הרמב"ם</v>
      </c>
    </row>
    <row r="1655" spans="1:5" x14ac:dyDescent="0.2">
      <c r="A1655" t="s">
        <v>2649</v>
      </c>
      <c r="B1655" t="e">
        <f>- וקסלר, יהודה</f>
        <v>#NAME?</v>
      </c>
      <c r="C1655" t="s">
        <v>39</v>
      </c>
      <c r="D1655" t="s">
        <v>2650</v>
      </c>
      <c r="E1655" s="3" t="str">
        <f>HYPERLINK("http://www.otzar.org/book.asp?141598","ספרים ברוסית - ביום הולדתך")</f>
        <v>ספרים ברוסית - ביום הולדתך</v>
      </c>
    </row>
    <row r="1656" spans="1:5" x14ac:dyDescent="0.2">
      <c r="A1656" t="s">
        <v>2651</v>
      </c>
      <c r="B1656" t="e">
        <f>- מינדל, ניסן</f>
        <v>#NAME?</v>
      </c>
      <c r="C1656" t="s">
        <v>67</v>
      </c>
      <c r="D1656" t="s">
        <v>8</v>
      </c>
      <c r="E1656" s="3" t="str">
        <f>HYPERLINK("http://www.otzar.org/book.asp?141621","ספרים ברוסית - ואני תפילתי")</f>
        <v>ספרים ברוסית - ואני תפילתי</v>
      </c>
    </row>
    <row r="1657" spans="1:5" x14ac:dyDescent="0.2">
      <c r="A1657" t="s">
        <v>2652</v>
      </c>
      <c r="B1657" t="s">
        <v>2653</v>
      </c>
      <c r="C1657" t="s">
        <v>76</v>
      </c>
      <c r="D1657" t="s">
        <v>877</v>
      </c>
      <c r="E1657" s="3" t="str">
        <f>HYPERLINK("http://www.otzar.org/book.asp?141586","ספרים ברוסית - עונג שבת עם חב""ד")</f>
        <v>ספרים ברוסית - עונג שבת עם חב"ד</v>
      </c>
    </row>
    <row r="1658" spans="1:5" x14ac:dyDescent="0.2">
      <c r="A1658" t="s">
        <v>2654</v>
      </c>
      <c r="B1658" t="e">
        <f>- מצגר, אלטר</f>
        <v>#NAME?</v>
      </c>
      <c r="C1658" t="s">
        <v>39</v>
      </c>
      <c r="D1658" t="s">
        <v>8</v>
      </c>
      <c r="E1658" s="3" t="str">
        <f>HYPERLINK("http://www.otzar.org/book.asp?143583","ספרים ברוסית -")</f>
        <v>ספרים ברוסית -</v>
      </c>
    </row>
    <row r="1659" spans="1:5" x14ac:dyDescent="0.2">
      <c r="A1659" t="s">
        <v>2655</v>
      </c>
      <c r="B1659" t="s">
        <v>2656</v>
      </c>
      <c r="C1659" t="s">
        <v>86</v>
      </c>
      <c r="D1659" t="s">
        <v>8</v>
      </c>
      <c r="E1659" s="3" t="str">
        <f>HYPERLINK("http://www.otzar.org/book.asp?143586","ספרים ברוסית - הגדה של פסח")</f>
        <v>ספרים ברוסית - הגדה של פסח</v>
      </c>
    </row>
    <row r="1660" spans="1:5" x14ac:dyDescent="0.2">
      <c r="A1660" t="s">
        <v>2657</v>
      </c>
      <c r="B1660" t="e">
        <f>- שניאור זלמן בן ברוך מלאדי</f>
        <v>#NAME?</v>
      </c>
      <c r="C1660" t="s">
        <v>165</v>
      </c>
      <c r="D1660" t="s">
        <v>877</v>
      </c>
      <c r="E1660" s="3" t="str">
        <f>HYPERLINK("http://www.otzar.org/book.asp?29240","ספרים ברוסית - ליקוטי אמרים תניא (עם תרגום רוסי)")</f>
        <v>ספרים ברוסית - ליקוטי אמרים תניא (עם תרגום רוסי)</v>
      </c>
    </row>
    <row r="1661" spans="1:5" x14ac:dyDescent="0.2">
      <c r="A1661" t="s">
        <v>2644</v>
      </c>
      <c r="B1661" t="e">
        <f>- שניאורסון, מנחם מנדל בן לוי יצחק</f>
        <v>#NAME?</v>
      </c>
      <c r="C1661" t="s">
        <v>82</v>
      </c>
      <c r="D1661" t="s">
        <v>8</v>
      </c>
      <c r="E1661" s="3" t="str">
        <f>HYPERLINK("http://www.otzar.org/book.asp?607795","ספרים ברוסית - 2 כר'")</f>
        <v>ספרים ברוסית - 2 כר'</v>
      </c>
    </row>
    <row r="1662" spans="1:5" x14ac:dyDescent="0.2">
      <c r="A1662" t="s">
        <v>2658</v>
      </c>
      <c r="B1662" t="e">
        <f>- שניאורסון, שלום דוב בר בן שמואל</f>
        <v>#NAME?</v>
      </c>
      <c r="C1662" t="s">
        <v>86</v>
      </c>
      <c r="E1662" s="3" t="str">
        <f>HYPERLINK("http://www.otzar.org/book.asp?145777","ספרים ברוסית - ומעיין מבין ה' עם תרגום ברוסית")</f>
        <v>ספרים ברוסית - ומעיין מבין ה' עם תרגום ברוסית</v>
      </c>
    </row>
    <row r="1663" spans="1:5" x14ac:dyDescent="0.2">
      <c r="A1663" t="s">
        <v>2659</v>
      </c>
      <c r="B1663" t="s">
        <v>2629</v>
      </c>
      <c r="C1663" t="s">
        <v>39</v>
      </c>
      <c r="D1663" t="s">
        <v>8</v>
      </c>
      <c r="E1663" s="3" t="str">
        <f>HYPERLINK("http://www.otzar.org/book.asp?160730","ספרים ברוסית - 29 כר'")</f>
        <v>ספרים ברוסית - 29 כר'</v>
      </c>
    </row>
    <row r="1664" spans="1:5" x14ac:dyDescent="0.2">
      <c r="A1664" t="s">
        <v>2660</v>
      </c>
      <c r="B1664" t="s">
        <v>2661</v>
      </c>
      <c r="C1664" t="s">
        <v>448</v>
      </c>
      <c r="D1664" t="s">
        <v>8</v>
      </c>
      <c r="E1664" s="3" t="str">
        <f>HYPERLINK("http://www.otzar.org/book.asp?145518","ספרנו - ב")</f>
        <v>ספרנו - ב</v>
      </c>
    </row>
    <row r="1665" spans="1:5" x14ac:dyDescent="0.2">
      <c r="A1665" t="s">
        <v>2662</v>
      </c>
      <c r="B1665" t="s">
        <v>348</v>
      </c>
      <c r="C1665" t="s">
        <v>54</v>
      </c>
      <c r="D1665" t="s">
        <v>12</v>
      </c>
      <c r="E1665" s="3" t="str">
        <f>HYPERLINK("http://www.otzar.org/book.asp?167734","עבד אברהם אנכי")</f>
        <v>עבד אברהם אנכי</v>
      </c>
    </row>
    <row r="1666" spans="1:5" x14ac:dyDescent="0.2">
      <c r="A1666" t="s">
        <v>2663</v>
      </c>
      <c r="B1666" t="s">
        <v>1418</v>
      </c>
      <c r="C1666" t="s">
        <v>86</v>
      </c>
      <c r="D1666" t="s">
        <v>19</v>
      </c>
      <c r="E1666" s="3" t="str">
        <f>HYPERLINK("http://www.otzar.org/book.asp?157279","עבד מלך")</f>
        <v>עבד מלך</v>
      </c>
    </row>
    <row r="1667" spans="1:5" x14ac:dyDescent="0.2">
      <c r="A1667" t="s">
        <v>2664</v>
      </c>
      <c r="B1667" t="s">
        <v>2665</v>
      </c>
      <c r="C1667" t="s">
        <v>76</v>
      </c>
      <c r="D1667" t="s">
        <v>19</v>
      </c>
      <c r="E1667" s="3" t="str">
        <f>HYPERLINK("http://www.otzar.org/book.asp?618905","עבדות או שליחות")</f>
        <v>עבדות או שליחות</v>
      </c>
    </row>
    <row r="1668" spans="1:5" x14ac:dyDescent="0.2">
      <c r="A1668" t="s">
        <v>2666</v>
      </c>
      <c r="B1668" t="s">
        <v>2667</v>
      </c>
      <c r="C1668" t="s">
        <v>2668</v>
      </c>
      <c r="D1668" t="s">
        <v>2669</v>
      </c>
      <c r="E1668" s="3" t="str">
        <f>HYPERLINK("http://www.otzar.org/book.asp?104384","עבודת הלוי - א (בראשית, שמות, ויקרא, הפטרות)")</f>
        <v>עבודת הלוי - א (בראשית, שמות, ויקרא, הפטרות)</v>
      </c>
    </row>
    <row r="1669" spans="1:5" x14ac:dyDescent="0.2">
      <c r="A1669" t="s">
        <v>2670</v>
      </c>
      <c r="B1669" t="s">
        <v>17</v>
      </c>
      <c r="C1669" t="s">
        <v>201</v>
      </c>
      <c r="D1669" t="s">
        <v>8</v>
      </c>
      <c r="E1669" s="3" t="str">
        <f>HYPERLINK("http://www.otzar.org/book.asp?145812","עבודת הקודש אצל הרבי מליובאוויטש")</f>
        <v>עבודת הקודש אצל הרבי מליובאוויטש</v>
      </c>
    </row>
    <row r="1670" spans="1:5" x14ac:dyDescent="0.2">
      <c r="A1670" t="s">
        <v>2671</v>
      </c>
      <c r="B1670" t="s">
        <v>2672</v>
      </c>
      <c r="D1670" t="s">
        <v>8</v>
      </c>
      <c r="E1670" s="3" t="str">
        <f>HYPERLINK("http://www.otzar.org/book.asp?627070","עבודת התפילה")</f>
        <v>עבודת התפילה</v>
      </c>
    </row>
    <row r="1671" spans="1:5" x14ac:dyDescent="0.2">
      <c r="A1671" t="s">
        <v>2673</v>
      </c>
      <c r="B1671" t="s">
        <v>2674</v>
      </c>
      <c r="C1671" t="s">
        <v>34</v>
      </c>
      <c r="D1671" t="s">
        <v>40</v>
      </c>
      <c r="E1671" s="3" t="str">
        <f>HYPERLINK("http://www.otzar.org/book.asp?154704","עבודת ישראל")</f>
        <v>עבודת ישראל</v>
      </c>
    </row>
    <row r="1672" spans="1:5" x14ac:dyDescent="0.2">
      <c r="A1672" t="s">
        <v>2675</v>
      </c>
      <c r="B1672" t="s">
        <v>2676</v>
      </c>
      <c r="C1672" t="s">
        <v>350</v>
      </c>
      <c r="D1672" t="s">
        <v>12</v>
      </c>
      <c r="E1672" s="3" t="str">
        <f>HYPERLINK("http://www.otzar.org/book.asp?607842","עבודת תיקון המידות")</f>
        <v>עבודת תיקון המידות</v>
      </c>
    </row>
    <row r="1673" spans="1:5" x14ac:dyDescent="0.2">
      <c r="A1673" t="s">
        <v>2677</v>
      </c>
      <c r="B1673" t="s">
        <v>2678</v>
      </c>
      <c r="C1673" t="s">
        <v>2679</v>
      </c>
      <c r="D1673" t="s">
        <v>1585</v>
      </c>
      <c r="E1673" s="3" t="str">
        <f>HYPERLINK("http://www.otzar.org/book.asp?102224","עדת צדיקים")</f>
        <v>עדת צדיקים</v>
      </c>
    </row>
    <row r="1674" spans="1:5" x14ac:dyDescent="0.2">
      <c r="A1674" t="s">
        <v>2680</v>
      </c>
      <c r="B1674" t="s">
        <v>105</v>
      </c>
      <c r="C1674" t="s">
        <v>15</v>
      </c>
      <c r="D1674" t="s">
        <v>2681</v>
      </c>
      <c r="E1674" s="3" t="str">
        <f>HYPERLINK("http://www.otzar.org/book.asp?607652","עוד אבינו חי")</f>
        <v>עוד אבינו חי</v>
      </c>
    </row>
    <row r="1675" spans="1:5" x14ac:dyDescent="0.2">
      <c r="A1675" t="s">
        <v>2682</v>
      </c>
      <c r="B1675" t="s">
        <v>230</v>
      </c>
      <c r="C1675" t="s">
        <v>122</v>
      </c>
      <c r="D1675" t="s">
        <v>40</v>
      </c>
      <c r="E1675" s="3" t="str">
        <f>HYPERLINK("http://www.otzar.org/book.asp?143356","עוד יוסף חי")</f>
        <v>עוד יוסף חי</v>
      </c>
    </row>
    <row r="1676" spans="1:5" x14ac:dyDescent="0.2">
      <c r="A1676" t="s">
        <v>2683</v>
      </c>
      <c r="B1676" t="s">
        <v>2684</v>
      </c>
      <c r="C1676" t="s">
        <v>44</v>
      </c>
      <c r="D1676" t="s">
        <v>12</v>
      </c>
      <c r="E1676" s="3" t="str">
        <f>HYPERLINK("http://www.otzar.org/book.asp?173493","עולם הרפואה במשנתו של הרבי מליובאוויטש")</f>
        <v>עולם הרפואה במשנתו של הרבי מליובאוויטש</v>
      </c>
    </row>
    <row r="1677" spans="1:5" x14ac:dyDescent="0.2">
      <c r="A1677" t="s">
        <v>2685</v>
      </c>
      <c r="B1677" t="s">
        <v>30</v>
      </c>
      <c r="C1677" t="s">
        <v>82</v>
      </c>
      <c r="D1677" t="s">
        <v>2686</v>
      </c>
      <c r="E1677" s="3" t="str">
        <f>HYPERLINK("http://www.otzar.org/book.asp?196220","עולם ומלואו")</f>
        <v>עולם ומלואו</v>
      </c>
    </row>
    <row r="1678" spans="1:5" x14ac:dyDescent="0.2">
      <c r="A1678" t="s">
        <v>2687</v>
      </c>
      <c r="B1678" t="s">
        <v>21</v>
      </c>
      <c r="C1678" t="s">
        <v>152</v>
      </c>
      <c r="D1678" t="s">
        <v>40</v>
      </c>
      <c r="E1678" s="3" t="str">
        <f>HYPERLINK("http://www.otzar.org/book.asp?141425","עולם של יצירה")</f>
        <v>עולם של יצירה</v>
      </c>
    </row>
    <row r="1679" spans="1:5" x14ac:dyDescent="0.2">
      <c r="A1679" t="s">
        <v>2688</v>
      </c>
      <c r="B1679" t="s">
        <v>108</v>
      </c>
      <c r="C1679" t="s">
        <v>76</v>
      </c>
      <c r="D1679" t="s">
        <v>19</v>
      </c>
      <c r="E1679" s="3" t="str">
        <f>HYPERLINK("http://www.otzar.org/book.asp?612000","עומק הפשט עיונים ברש""י ע""פ ליקוטי שיחות - 2 כר'")</f>
        <v>עומק הפשט עיונים ברש"י ע"פ ליקוטי שיחות - 2 כר'</v>
      </c>
    </row>
    <row r="1680" spans="1:5" x14ac:dyDescent="0.2">
      <c r="A1680" t="s">
        <v>2689</v>
      </c>
      <c r="B1680" t="s">
        <v>33</v>
      </c>
      <c r="C1680" t="s">
        <v>54</v>
      </c>
      <c r="D1680" t="s">
        <v>40</v>
      </c>
      <c r="E1680" s="3" t="str">
        <f>HYPERLINK("http://www.otzar.org/book.asp?169962","עושה אידישקייט")</f>
        <v>עושה אידישקייט</v>
      </c>
    </row>
    <row r="1681" spans="1:5" x14ac:dyDescent="0.2">
      <c r="A1681" t="s">
        <v>2690</v>
      </c>
      <c r="B1681" t="s">
        <v>108</v>
      </c>
      <c r="C1681" t="s">
        <v>65</v>
      </c>
      <c r="D1681" t="s">
        <v>1150</v>
      </c>
      <c r="E1681" s="3" t="str">
        <f>HYPERLINK("http://www.otzar.org/book.asp?27332","עטרת המלך - 2 כר'")</f>
        <v>עטרת המלך - 2 כר'</v>
      </c>
    </row>
    <row r="1682" spans="1:5" x14ac:dyDescent="0.2">
      <c r="A1682" t="s">
        <v>2691</v>
      </c>
      <c r="B1682" t="s">
        <v>2691</v>
      </c>
      <c r="C1682" t="s">
        <v>122</v>
      </c>
      <c r="D1682" t="s">
        <v>12</v>
      </c>
      <c r="E1682" s="3" t="str">
        <f>HYPERLINK("http://www.otzar.org/book.asp?141656","עטרת חיה")</f>
        <v>עטרת חיה</v>
      </c>
    </row>
    <row r="1683" spans="1:5" x14ac:dyDescent="0.2">
      <c r="A1683" t="s">
        <v>2692</v>
      </c>
      <c r="B1683" t="s">
        <v>108</v>
      </c>
      <c r="C1683" t="s">
        <v>301</v>
      </c>
      <c r="D1683" t="s">
        <v>1150</v>
      </c>
      <c r="E1683" s="3" t="str">
        <f>HYPERLINK("http://www.otzar.org/book.asp?27390","עטרת חכמים")</f>
        <v>עטרת חכמים</v>
      </c>
    </row>
    <row r="1684" spans="1:5" x14ac:dyDescent="0.2">
      <c r="A1684" t="s">
        <v>2693</v>
      </c>
      <c r="B1684" t="s">
        <v>2694</v>
      </c>
      <c r="C1684" t="s">
        <v>73</v>
      </c>
      <c r="D1684" t="s">
        <v>1000</v>
      </c>
      <c r="E1684" s="3" t="str">
        <f>HYPERLINK("http://www.otzar.org/book.asp?630296","עטרת לוי יצחק")</f>
        <v>עטרת לוי יצחק</v>
      </c>
    </row>
    <row r="1685" spans="1:5" x14ac:dyDescent="0.2">
      <c r="A1685" t="s">
        <v>2695</v>
      </c>
      <c r="B1685" t="s">
        <v>108</v>
      </c>
      <c r="C1685" t="s">
        <v>65</v>
      </c>
      <c r="D1685" t="s">
        <v>1150</v>
      </c>
      <c r="E1685" s="3" t="str">
        <f>HYPERLINK("http://www.otzar.org/book.asp?27351","עטרת מלך")</f>
        <v>עטרת מלך</v>
      </c>
    </row>
    <row r="1686" spans="1:5" x14ac:dyDescent="0.2">
      <c r="A1686" t="s">
        <v>2696</v>
      </c>
      <c r="B1686" t="s">
        <v>1961</v>
      </c>
      <c r="C1686" t="s">
        <v>111</v>
      </c>
      <c r="D1686" t="s">
        <v>12</v>
      </c>
      <c r="E1686" s="3" t="str">
        <f>HYPERLINK("http://www.otzar.org/book.asp?27036","עטרת מלכות")</f>
        <v>עטרת מלכות</v>
      </c>
    </row>
    <row r="1687" spans="1:5" x14ac:dyDescent="0.2">
      <c r="A1687" t="s">
        <v>2697</v>
      </c>
      <c r="B1687" t="s">
        <v>2698</v>
      </c>
      <c r="C1687" t="s">
        <v>161</v>
      </c>
      <c r="D1687" t="s">
        <v>1150</v>
      </c>
      <c r="E1687" s="3" t="str">
        <f>HYPERLINK("http://www.otzar.org/book.asp?27282","עטרת צבי")</f>
        <v>עטרת צבי</v>
      </c>
    </row>
    <row r="1688" spans="1:5" x14ac:dyDescent="0.2">
      <c r="A1688" t="s">
        <v>2699</v>
      </c>
      <c r="B1688" t="s">
        <v>43</v>
      </c>
      <c r="C1688" t="s">
        <v>52</v>
      </c>
      <c r="D1688" t="s">
        <v>8</v>
      </c>
      <c r="E1688" s="3" t="str">
        <f>HYPERLINK("http://www.otzar.org/book.asp?26655","עטרת ראש - 2 כר'")</f>
        <v>עטרת ראש - 2 כר'</v>
      </c>
    </row>
    <row r="1689" spans="1:5" x14ac:dyDescent="0.2">
      <c r="A1689" t="s">
        <v>2700</v>
      </c>
      <c r="B1689" t="s">
        <v>2701</v>
      </c>
      <c r="C1689" t="s">
        <v>122</v>
      </c>
      <c r="D1689" t="s">
        <v>40</v>
      </c>
      <c r="E1689" s="3" t="str">
        <f>HYPERLINK("http://www.otzar.org/book.asp?143280","עיון סופרים - א")</f>
        <v>עיון סופרים - א</v>
      </c>
    </row>
    <row r="1690" spans="1:5" x14ac:dyDescent="0.2">
      <c r="A1690" t="s">
        <v>2702</v>
      </c>
      <c r="B1690" t="s">
        <v>2703</v>
      </c>
      <c r="C1690" t="s">
        <v>2704</v>
      </c>
      <c r="D1690" t="s">
        <v>2236</v>
      </c>
      <c r="E1690" s="3" t="str">
        <f>HYPERLINK("http://www.otzar.org/book.asp?103625","עיון תפלה")</f>
        <v>עיון תפלה</v>
      </c>
    </row>
    <row r="1691" spans="1:5" x14ac:dyDescent="0.2">
      <c r="A1691" t="s">
        <v>2705</v>
      </c>
      <c r="B1691" t="s">
        <v>108</v>
      </c>
      <c r="C1691" t="s">
        <v>2706</v>
      </c>
      <c r="D1691" t="s">
        <v>2103</v>
      </c>
      <c r="E1691" s="3" t="str">
        <f>HYPERLINK("http://www.otzar.org/book.asp?145918","עיוני תורה - 5 כר'")</f>
        <v>עיוני תורה - 5 כר'</v>
      </c>
    </row>
    <row r="1692" spans="1:5" x14ac:dyDescent="0.2">
      <c r="A1692" t="s">
        <v>2707</v>
      </c>
      <c r="B1692" t="s">
        <v>30</v>
      </c>
      <c r="C1692" t="s">
        <v>165</v>
      </c>
      <c r="D1692" t="s">
        <v>788</v>
      </c>
      <c r="E1692" s="3" t="str">
        <f>HYPERLINK("http://www.otzar.org/book.asp?146299","עיונים בתורת ארץ ישראל ובית הבחירה")</f>
        <v>עיונים בתורת ארץ ישראל ובית הבחירה</v>
      </c>
    </row>
    <row r="1693" spans="1:5" x14ac:dyDescent="0.2">
      <c r="A1693" t="s">
        <v>2708</v>
      </c>
      <c r="B1693" t="s">
        <v>1628</v>
      </c>
      <c r="C1693" t="s">
        <v>76</v>
      </c>
      <c r="D1693" t="s">
        <v>19</v>
      </c>
      <c r="E1693" s="3" t="str">
        <f>HYPERLINK("http://www.otzar.org/book.asp?26498","עיונים וביאורים במגילת אסתר")</f>
        <v>עיונים וביאורים במגילת אסתר</v>
      </c>
    </row>
    <row r="1694" spans="1:5" x14ac:dyDescent="0.2">
      <c r="A1694" t="s">
        <v>2709</v>
      </c>
      <c r="B1694" t="s">
        <v>2710</v>
      </c>
      <c r="C1694" t="s">
        <v>54</v>
      </c>
      <c r="D1694" t="s">
        <v>2711</v>
      </c>
      <c r="E1694" s="3" t="str">
        <f>HYPERLINK("http://www.otzar.org/book.asp?607959","עיונים וביאורים - א")</f>
        <v>עיונים וביאורים - א</v>
      </c>
    </row>
    <row r="1695" spans="1:5" x14ac:dyDescent="0.2">
      <c r="A1695" t="s">
        <v>2712</v>
      </c>
      <c r="B1695" t="s">
        <v>108</v>
      </c>
      <c r="C1695" t="s">
        <v>201</v>
      </c>
      <c r="D1695" t="s">
        <v>8</v>
      </c>
      <c r="E1695" s="3" t="str">
        <f>HYPERLINK("http://www.otzar.org/book.asp?27492","עיונים והערות ברשימות קודש - א")</f>
        <v>עיונים והערות ברשימות קודש - א</v>
      </c>
    </row>
    <row r="1696" spans="1:5" x14ac:dyDescent="0.2">
      <c r="A1696" t="s">
        <v>2713</v>
      </c>
      <c r="B1696" t="s">
        <v>2714</v>
      </c>
      <c r="C1696" t="s">
        <v>76</v>
      </c>
      <c r="D1696" t="s">
        <v>264</v>
      </c>
      <c r="E1696" s="3" t="str">
        <f>HYPERLINK("http://www.otzar.org/book.asp?85366","עיקרי החשבונות")</f>
        <v>עיקרי החשבונות</v>
      </c>
    </row>
    <row r="1697" spans="1:5" x14ac:dyDescent="0.2">
      <c r="A1697" t="s">
        <v>2715</v>
      </c>
      <c r="B1697" t="s">
        <v>2716</v>
      </c>
      <c r="C1697" t="s">
        <v>148</v>
      </c>
      <c r="D1697" t="s">
        <v>332</v>
      </c>
      <c r="E1697" s="3" t="str">
        <f>HYPERLINK("http://www.otzar.org/book.asp?142653","עיקרי הלכות מוקצה")</f>
        <v>עיקרי הלכות מוקצה</v>
      </c>
    </row>
    <row r="1698" spans="1:5" x14ac:dyDescent="0.2">
      <c r="A1698" t="s">
        <v>2717</v>
      </c>
      <c r="B1698" t="s">
        <v>2718</v>
      </c>
      <c r="C1698" t="s">
        <v>2719</v>
      </c>
      <c r="D1698" t="s">
        <v>2236</v>
      </c>
      <c r="E1698" s="3" t="str">
        <f>HYPERLINK("http://www.otzar.org/book.asp?20493","עיר וקדיש")</f>
        <v>עיר וקדיש</v>
      </c>
    </row>
    <row r="1699" spans="1:5" x14ac:dyDescent="0.2">
      <c r="A1699" t="s">
        <v>2720</v>
      </c>
      <c r="B1699" t="s">
        <v>2721</v>
      </c>
      <c r="C1699" t="s">
        <v>276</v>
      </c>
      <c r="D1699" t="s">
        <v>12</v>
      </c>
      <c r="E1699" s="3" t="str">
        <f>HYPERLINK("http://www.otzar.org/book.asp?27090","על אבותינו ועל יחוסם")</f>
        <v>על אבותינו ועל יחוסם</v>
      </c>
    </row>
    <row r="1700" spans="1:5" x14ac:dyDescent="0.2">
      <c r="A1700" t="s">
        <v>2722</v>
      </c>
      <c r="B1700" t="s">
        <v>105</v>
      </c>
      <c r="C1700" t="s">
        <v>76</v>
      </c>
      <c r="D1700" t="s">
        <v>19</v>
      </c>
      <c r="E1700" s="3" t="str">
        <f>HYPERLINK("http://www.otzar.org/book.asp?145961","על הגיור כהלכה")</f>
        <v>על הגיור כהלכה</v>
      </c>
    </row>
    <row r="1701" spans="1:5" x14ac:dyDescent="0.2">
      <c r="A1701" t="s">
        <v>2723</v>
      </c>
      <c r="B1701" t="s">
        <v>1345</v>
      </c>
      <c r="C1701" t="s">
        <v>76</v>
      </c>
      <c r="D1701" t="s">
        <v>40</v>
      </c>
      <c r="E1701" s="3" t="str">
        <f>HYPERLINK("http://www.otzar.org/book.asp?144160","על הכוונת")</f>
        <v>על הכוונת</v>
      </c>
    </row>
    <row r="1702" spans="1:5" x14ac:dyDescent="0.2">
      <c r="A1702" t="s">
        <v>2724</v>
      </c>
      <c r="B1702" t="s">
        <v>2725</v>
      </c>
      <c r="C1702" t="s">
        <v>22</v>
      </c>
      <c r="D1702" t="s">
        <v>12</v>
      </c>
      <c r="E1702" s="3" t="str">
        <f>HYPERLINK("http://www.otzar.org/book.asp?142182","על הצדיקים - 2 כר'")</f>
        <v>על הצדיקים - 2 כר'</v>
      </c>
    </row>
    <row r="1703" spans="1:5" x14ac:dyDescent="0.2">
      <c r="A1703" t="s">
        <v>2726</v>
      </c>
      <c r="B1703" t="s">
        <v>30</v>
      </c>
      <c r="C1703" t="s">
        <v>155</v>
      </c>
      <c r="D1703" t="s">
        <v>19</v>
      </c>
      <c r="E1703" s="3" t="str">
        <f>HYPERLINK("http://www.otzar.org/book.asp?146546","על הרי הגליל")</f>
        <v>על הרי הגליל</v>
      </c>
    </row>
    <row r="1704" spans="1:5" x14ac:dyDescent="0.2">
      <c r="A1704" t="s">
        <v>2727</v>
      </c>
      <c r="B1704" t="s">
        <v>10</v>
      </c>
      <c r="E1704" s="3" t="str">
        <f>HYPERLINK("http://www.otzar.org/book.asp?629099","על חטא העיגול")</f>
        <v>על חטא העיגול</v>
      </c>
    </row>
    <row r="1705" spans="1:5" x14ac:dyDescent="0.2">
      <c r="A1705" t="s">
        <v>2728</v>
      </c>
      <c r="B1705" t="s">
        <v>2729</v>
      </c>
      <c r="C1705" t="s">
        <v>76</v>
      </c>
      <c r="D1705" t="s">
        <v>8</v>
      </c>
      <c r="E1705" s="3" t="str">
        <f>HYPERLINK("http://www.otzar.org/book.asp?146398","על חסידות חב""ד והיהדות")</f>
        <v>על חסידות חב"ד והיהדות</v>
      </c>
    </row>
    <row r="1706" spans="1:5" x14ac:dyDescent="0.2">
      <c r="A1706" t="s">
        <v>2730</v>
      </c>
      <c r="B1706" t="s">
        <v>2731</v>
      </c>
      <c r="C1706" t="s">
        <v>76</v>
      </c>
      <c r="D1706" t="s">
        <v>71</v>
      </c>
      <c r="E1706" s="3" t="str">
        <f>HYPERLINK("http://www.otzar.org/book.asp?146239","על חסידות חב""ד")</f>
        <v>על חסידות חב"ד</v>
      </c>
    </row>
    <row r="1707" spans="1:5" x14ac:dyDescent="0.2">
      <c r="A1707" t="s">
        <v>2732</v>
      </c>
      <c r="B1707" t="s">
        <v>30</v>
      </c>
      <c r="C1707" t="s">
        <v>82</v>
      </c>
      <c r="D1707" t="s">
        <v>80</v>
      </c>
      <c r="E1707" s="3" t="str">
        <f>HYPERLINK("http://www.otzar.org/book.asp?607901","על כולנה")</f>
        <v>על כולנה</v>
      </c>
    </row>
    <row r="1708" spans="1:5" x14ac:dyDescent="0.2">
      <c r="A1708" t="s">
        <v>2733</v>
      </c>
      <c r="B1708" t="s">
        <v>295</v>
      </c>
      <c r="C1708" t="s">
        <v>34</v>
      </c>
      <c r="D1708" t="s">
        <v>12</v>
      </c>
      <c r="E1708" s="3" t="str">
        <f>HYPERLINK("http://www.otzar.org/book.asp?157282","על מנהגים ומקורותיהם")</f>
        <v>על מנהגים ומקורותיהם</v>
      </c>
    </row>
    <row r="1709" spans="1:5" x14ac:dyDescent="0.2">
      <c r="A1709" t="s">
        <v>2734</v>
      </c>
      <c r="B1709" t="s">
        <v>2735</v>
      </c>
      <c r="C1709" t="s">
        <v>54</v>
      </c>
      <c r="D1709" t="s">
        <v>40</v>
      </c>
      <c r="E1709" s="3" t="str">
        <f>HYPERLINK("http://www.otzar.org/book.asp?615473","על ספר זכרון ירושלים")</f>
        <v>על ספר זכרון ירושלים</v>
      </c>
    </row>
    <row r="1710" spans="1:5" x14ac:dyDescent="0.2">
      <c r="A1710" t="s">
        <v>2736</v>
      </c>
      <c r="B1710" t="s">
        <v>10</v>
      </c>
      <c r="C1710" t="s">
        <v>7</v>
      </c>
      <c r="D1710" t="s">
        <v>40</v>
      </c>
      <c r="E1710" s="3" t="str">
        <f>HYPERLINK("http://www.otzar.org/book.asp?622502","על פרשת דרכים")</f>
        <v>על פרשת דרכים</v>
      </c>
    </row>
    <row r="1711" spans="1:5" x14ac:dyDescent="0.2">
      <c r="A1711" t="s">
        <v>2737</v>
      </c>
      <c r="B1711" t="s">
        <v>842</v>
      </c>
      <c r="C1711" t="s">
        <v>115</v>
      </c>
      <c r="D1711" t="s">
        <v>12</v>
      </c>
      <c r="E1711" s="3" t="str">
        <f>HYPERLINK("http://www.otzar.org/book.asp?141426","על קדוש השם")</f>
        <v>על קדוש השם</v>
      </c>
    </row>
    <row r="1712" spans="1:5" x14ac:dyDescent="0.2">
      <c r="A1712" t="s">
        <v>2738</v>
      </c>
      <c r="B1712" t="s">
        <v>2738</v>
      </c>
      <c r="C1712" t="s">
        <v>65</v>
      </c>
      <c r="D1712" t="s">
        <v>40</v>
      </c>
      <c r="E1712" s="3" t="str">
        <f>HYPERLINK("http://www.otzar.org/book.asp?140881","עלי כבוד")</f>
        <v>עלי כבוד</v>
      </c>
    </row>
    <row r="1713" spans="1:5" x14ac:dyDescent="0.2">
      <c r="A1713" t="s">
        <v>2739</v>
      </c>
      <c r="B1713" t="s">
        <v>30</v>
      </c>
      <c r="C1713" t="s">
        <v>34</v>
      </c>
      <c r="D1713" t="s">
        <v>8</v>
      </c>
      <c r="E1713" s="3" t="str">
        <f>HYPERLINK("http://www.otzar.org/book.asp?157274","עמדו הכן כולכם - 8 כר'")</f>
        <v>עמדו הכן כולכם - 8 כר'</v>
      </c>
    </row>
    <row r="1714" spans="1:5" x14ac:dyDescent="0.2">
      <c r="A1714" t="s">
        <v>2740</v>
      </c>
      <c r="B1714" t="s">
        <v>108</v>
      </c>
      <c r="C1714" t="s">
        <v>18</v>
      </c>
      <c r="D1714" t="s">
        <v>19</v>
      </c>
      <c r="E1714" s="3" t="str">
        <f>HYPERLINK("http://www.otzar.org/book.asp?146230","עמדו הכן")</f>
        <v>עמדו הכן</v>
      </c>
    </row>
    <row r="1715" spans="1:5" x14ac:dyDescent="0.2">
      <c r="A1715" t="s">
        <v>2741</v>
      </c>
      <c r="B1715" t="s">
        <v>2742</v>
      </c>
      <c r="C1715" t="s">
        <v>73</v>
      </c>
      <c r="D1715" t="s">
        <v>12</v>
      </c>
      <c r="E1715" s="3" t="str">
        <f>HYPERLINK("http://www.otzar.org/book.asp?607645","ענינו של תלמיד בתומכי תמימים")</f>
        <v>ענינו של תלמיד בתומכי תמימים</v>
      </c>
    </row>
    <row r="1716" spans="1:5" x14ac:dyDescent="0.2">
      <c r="A1716" t="s">
        <v>2743</v>
      </c>
      <c r="B1716" t="s">
        <v>30</v>
      </c>
      <c r="C1716" t="s">
        <v>39</v>
      </c>
      <c r="D1716" t="s">
        <v>8</v>
      </c>
      <c r="E1716" s="3" t="str">
        <f>HYPERLINK("http://www.otzar.org/book.asp?142654","ענינו של תמים - 2 כר'")</f>
        <v>ענינו של תמים - 2 כר'</v>
      </c>
    </row>
    <row r="1717" spans="1:5" x14ac:dyDescent="0.2">
      <c r="A1717" t="s">
        <v>2744</v>
      </c>
      <c r="B1717" t="s">
        <v>33</v>
      </c>
      <c r="C1717" t="s">
        <v>76</v>
      </c>
      <c r="D1717" t="s">
        <v>19</v>
      </c>
      <c r="E1717" s="3" t="str">
        <f>HYPERLINK("http://www.otzar.org/book.asp?193136","עניני חופה")</f>
        <v>עניני חופה</v>
      </c>
    </row>
    <row r="1718" spans="1:5" x14ac:dyDescent="0.2">
      <c r="A1718" t="s">
        <v>2745</v>
      </c>
      <c r="B1718" t="s">
        <v>2746</v>
      </c>
      <c r="C1718" t="s">
        <v>73</v>
      </c>
      <c r="D1718" t="s">
        <v>12</v>
      </c>
      <c r="E1718" s="3" t="str">
        <f>HYPERLINK("http://www.otzar.org/book.asp?183246","עסקנות ציבורית")</f>
        <v>עסקנות ציבורית</v>
      </c>
    </row>
    <row r="1719" spans="1:5" x14ac:dyDescent="0.2">
      <c r="A1719" t="s">
        <v>2747</v>
      </c>
      <c r="B1719" t="s">
        <v>64</v>
      </c>
      <c r="C1719" t="s">
        <v>91</v>
      </c>
      <c r="D1719" t="s">
        <v>92</v>
      </c>
      <c r="E1719" s="3" t="str">
        <f>HYPERLINK("http://www.otzar.org/book.asp?11129","עץ החיים")</f>
        <v>עץ החיים</v>
      </c>
    </row>
    <row r="1720" spans="1:5" x14ac:dyDescent="0.2">
      <c r="A1720" t="s">
        <v>2748</v>
      </c>
      <c r="B1720" t="s">
        <v>1043</v>
      </c>
      <c r="C1720" t="s">
        <v>11</v>
      </c>
      <c r="D1720" t="s">
        <v>2749</v>
      </c>
      <c r="E1720" s="3" t="str">
        <f>HYPERLINK("http://www.otzar.org/book.asp?162866","עצה סגולה וברכה")</f>
        <v>עצה סגולה וברכה</v>
      </c>
    </row>
    <row r="1721" spans="1:5" x14ac:dyDescent="0.2">
      <c r="A1721" t="s">
        <v>2750</v>
      </c>
      <c r="B1721" t="s">
        <v>30</v>
      </c>
      <c r="C1721" t="s">
        <v>1800</v>
      </c>
      <c r="D1721" t="s">
        <v>12</v>
      </c>
      <c r="E1721" s="3" t="str">
        <f>HYPERLINK("http://www.otzar.org/book.asp?27108","עצות והדרכות בעבודת ה'")</f>
        <v>עצות והדרכות בעבודת ה'</v>
      </c>
    </row>
    <row r="1722" spans="1:5" x14ac:dyDescent="0.2">
      <c r="A1722" t="s">
        <v>2751</v>
      </c>
      <c r="B1722" t="s">
        <v>2684</v>
      </c>
      <c r="C1722" t="s">
        <v>44</v>
      </c>
      <c r="D1722" t="s">
        <v>12</v>
      </c>
      <c r="E1722" s="3" t="str">
        <f>HYPERLINK("http://www.otzar.org/book.asp?173492","עצות וסגולות לחיים טובים ומאושרים")</f>
        <v>עצות וסגולות לחיים טובים ומאושרים</v>
      </c>
    </row>
    <row r="1723" spans="1:5" x14ac:dyDescent="0.2">
      <c r="A1723" t="s">
        <v>2752</v>
      </c>
      <c r="B1723" t="s">
        <v>2753</v>
      </c>
      <c r="C1723" t="s">
        <v>477</v>
      </c>
      <c r="D1723" t="s">
        <v>40</v>
      </c>
      <c r="E1723" s="3" t="str">
        <f>HYPERLINK("http://www.otzar.org/book.asp?27825","עצת הרבי תנחני")</f>
        <v>עצת הרבי תנחני</v>
      </c>
    </row>
    <row r="1724" spans="1:5" x14ac:dyDescent="0.2">
      <c r="A1724" t="s">
        <v>2754</v>
      </c>
      <c r="B1724" t="s">
        <v>108</v>
      </c>
      <c r="C1724" t="s">
        <v>65</v>
      </c>
      <c r="D1724" t="s">
        <v>549</v>
      </c>
      <c r="E1724" s="3" t="str">
        <f>HYPERLINK("http://www.otzar.org/book.asp?27594","פאר המלך")</f>
        <v>פאר המלך</v>
      </c>
    </row>
    <row r="1725" spans="1:5" x14ac:dyDescent="0.2">
      <c r="A1725" t="s">
        <v>2755</v>
      </c>
      <c r="B1725" t="s">
        <v>303</v>
      </c>
      <c r="C1725" t="s">
        <v>67</v>
      </c>
      <c r="D1725" t="s">
        <v>12</v>
      </c>
      <c r="E1725" s="3" t="str">
        <f>HYPERLINK("http://www.otzar.org/book.asp?26931","פאר לוי יצחק")</f>
        <v>פאר לוי יצחק</v>
      </c>
    </row>
    <row r="1726" spans="1:5" x14ac:dyDescent="0.2">
      <c r="A1726" t="s">
        <v>2756</v>
      </c>
      <c r="B1726" t="s">
        <v>2757</v>
      </c>
      <c r="C1726" t="s">
        <v>2758</v>
      </c>
      <c r="D1726" t="s">
        <v>1058</v>
      </c>
      <c r="E1726" s="3" t="str">
        <f>HYPERLINK("http://www.otzar.org/book.asp?5101","פאר מקדושים")</f>
        <v>פאר מקדושים</v>
      </c>
    </row>
    <row r="1727" spans="1:5" x14ac:dyDescent="0.2">
      <c r="A1727" t="s">
        <v>2759</v>
      </c>
      <c r="B1727" t="s">
        <v>30</v>
      </c>
      <c r="C1727" t="s">
        <v>11</v>
      </c>
      <c r="D1727" t="s">
        <v>12</v>
      </c>
      <c r="E1727" s="3" t="str">
        <f>HYPERLINK("http://www.otzar.org/book.asp?164323","פארברענגן עם הרבי - י""ב תמוז תשמ""ה")</f>
        <v>פארברענגן עם הרבי - י"ב תמוז תשמ"ה</v>
      </c>
    </row>
    <row r="1728" spans="1:5" x14ac:dyDescent="0.2">
      <c r="A1728" t="s">
        <v>2760</v>
      </c>
      <c r="B1728" t="s">
        <v>30</v>
      </c>
      <c r="C1728" t="s">
        <v>52</v>
      </c>
      <c r="D1728" t="s">
        <v>8</v>
      </c>
      <c r="E1728" s="3" t="str">
        <f>HYPERLINK("http://www.otzar.org/book.asp?142692","פארברענגען עם הרבי - 17 כר'")</f>
        <v>פארברענגען עם הרבי - 17 כר'</v>
      </c>
    </row>
    <row r="1729" spans="1:5" x14ac:dyDescent="0.2">
      <c r="A1729" t="s">
        <v>2761</v>
      </c>
      <c r="B1729" t="s">
        <v>30</v>
      </c>
      <c r="C1729" t="s">
        <v>76</v>
      </c>
      <c r="D1729" t="s">
        <v>12</v>
      </c>
      <c r="E1729" s="3" t="str">
        <f>HYPERLINK("http://www.otzar.org/book.asp?606921","פארברענגען - 2 כר'")</f>
        <v>פארברענגען - 2 כר'</v>
      </c>
    </row>
    <row r="1730" spans="1:5" x14ac:dyDescent="0.2">
      <c r="A1730" t="s">
        <v>2762</v>
      </c>
      <c r="B1730" t="s">
        <v>2316</v>
      </c>
      <c r="C1730" t="s">
        <v>11</v>
      </c>
      <c r="D1730" t="s">
        <v>40</v>
      </c>
      <c r="E1730" s="3" t="str">
        <f>HYPERLINK("http://www.otzar.org/book.asp?160794","פדה בשלום")</f>
        <v>פדה בשלום</v>
      </c>
    </row>
    <row r="1731" spans="1:5" x14ac:dyDescent="0.2">
      <c r="A1731" t="s">
        <v>2763</v>
      </c>
      <c r="B1731" t="s">
        <v>30</v>
      </c>
      <c r="C1731" t="s">
        <v>327</v>
      </c>
      <c r="D1731" t="s">
        <v>12</v>
      </c>
      <c r="E1731" s="3" t="str">
        <f>HYPERLINK("http://www.otzar.org/book.asp?140943","פועלי דיממא אנן")</f>
        <v>פועלי דיממא אנן</v>
      </c>
    </row>
    <row r="1732" spans="1:5" x14ac:dyDescent="0.2">
      <c r="A1732" t="s">
        <v>2764</v>
      </c>
      <c r="B1732" t="s">
        <v>2765</v>
      </c>
      <c r="C1732" t="s">
        <v>39</v>
      </c>
      <c r="D1732" t="s">
        <v>332</v>
      </c>
      <c r="E1732" s="3" t="str">
        <f>HYPERLINK("http://www.otzar.org/book.asp?61333","פוקח עורים עם ביאור עמוד אש")</f>
        <v>פוקח עורים עם ביאור עמוד אש</v>
      </c>
    </row>
    <row r="1733" spans="1:5" x14ac:dyDescent="0.2">
      <c r="A1733" t="s">
        <v>2766</v>
      </c>
      <c r="B1733" t="s">
        <v>43</v>
      </c>
      <c r="C1733" t="s">
        <v>2767</v>
      </c>
      <c r="D1733" t="s">
        <v>92</v>
      </c>
      <c r="E1733" s="3" t="str">
        <f>HYPERLINK("http://www.otzar.org/book.asp?143264","פוקח עורים - 2 כר'")</f>
        <v>פוקח עורים - 2 כר'</v>
      </c>
    </row>
    <row r="1734" spans="1:5" x14ac:dyDescent="0.2">
      <c r="A1734" t="s">
        <v>2768</v>
      </c>
      <c r="B1734" t="s">
        <v>2769</v>
      </c>
      <c r="C1734" t="s">
        <v>191</v>
      </c>
      <c r="D1734" t="s">
        <v>249</v>
      </c>
      <c r="E1734" s="3" t="str">
        <f>HYPERLINK("http://www.otzar.org/book.asp?614927","פורים חסידי")</f>
        <v>פורים חסידי</v>
      </c>
    </row>
    <row r="1735" spans="1:5" x14ac:dyDescent="0.2">
      <c r="A1735" t="s">
        <v>2770</v>
      </c>
      <c r="B1735" t="s">
        <v>2771</v>
      </c>
      <c r="C1735" t="s">
        <v>350</v>
      </c>
      <c r="D1735" t="s">
        <v>12</v>
      </c>
      <c r="E1735" s="3" t="str">
        <f>HYPERLINK("http://www.otzar.org/book.asp?607853","פורים - ענייני דיומא")</f>
        <v>פורים - ענייני דיומא</v>
      </c>
    </row>
    <row r="1736" spans="1:5" x14ac:dyDescent="0.2">
      <c r="A1736" t="s">
        <v>2772</v>
      </c>
      <c r="B1736" t="s">
        <v>2773</v>
      </c>
      <c r="C1736" t="s">
        <v>22</v>
      </c>
      <c r="D1736" t="s">
        <v>600</v>
      </c>
      <c r="E1736" s="3" t="str">
        <f>HYPERLINK("http://www.otzar.org/book.asp?145773","פיטטיא דאורייתא")</f>
        <v>פיטטיא דאורייתא</v>
      </c>
    </row>
    <row r="1737" spans="1:5" x14ac:dyDescent="0.2">
      <c r="A1737" t="s">
        <v>2774</v>
      </c>
      <c r="B1737" t="s">
        <v>2775</v>
      </c>
      <c r="C1737" t="s">
        <v>191</v>
      </c>
      <c r="D1737" t="s">
        <v>323</v>
      </c>
      <c r="E1737" s="3" t="str">
        <f>HYPERLINK("http://www.otzar.org/book.asp?616914","פיצוח הקוד השמימי")</f>
        <v>פיצוח הקוד השמימי</v>
      </c>
    </row>
    <row r="1738" spans="1:5" x14ac:dyDescent="0.2">
      <c r="A1738" t="s">
        <v>2776</v>
      </c>
      <c r="B1738" t="s">
        <v>2777</v>
      </c>
      <c r="C1738" t="s">
        <v>213</v>
      </c>
      <c r="D1738" t="s">
        <v>71</v>
      </c>
      <c r="E1738" s="3" t="str">
        <f>HYPERLINK("http://www.otzar.org/book.asp?27640","פיקוח נפש דוחה פוליטיקה")</f>
        <v>פיקוח נפש דוחה פוליטיקה</v>
      </c>
    </row>
    <row r="1739" spans="1:5" x14ac:dyDescent="0.2">
      <c r="A1739" t="s">
        <v>2778</v>
      </c>
      <c r="B1739" t="s">
        <v>43</v>
      </c>
      <c r="C1739" t="s">
        <v>39</v>
      </c>
      <c r="D1739" t="s">
        <v>40</v>
      </c>
      <c r="E1739" s="3" t="str">
        <f>HYPERLINK("http://www.otzar.org/book.asp?141696","פירוש המלות &lt;טקסט&gt;")</f>
        <v>פירוש המלות &lt;טקסט&gt;</v>
      </c>
    </row>
    <row r="1740" spans="1:5" x14ac:dyDescent="0.2">
      <c r="A1740" t="s">
        <v>2779</v>
      </c>
      <c r="B1740" t="s">
        <v>43</v>
      </c>
      <c r="C1740" t="s">
        <v>327</v>
      </c>
      <c r="D1740" t="s">
        <v>8</v>
      </c>
      <c r="E1740" s="3" t="str">
        <f>HYPERLINK("http://www.otzar.org/book.asp?26910","פירוש המלות - 2 כר'")</f>
        <v>פירוש המלות - 2 כר'</v>
      </c>
    </row>
    <row r="1741" spans="1:5" x14ac:dyDescent="0.2">
      <c r="A1741" t="s">
        <v>2780</v>
      </c>
      <c r="B1741" t="s">
        <v>207</v>
      </c>
      <c r="C1741" t="s">
        <v>76</v>
      </c>
      <c r="D1741" t="s">
        <v>19</v>
      </c>
      <c r="E1741" s="3" t="str">
        <f>HYPERLINK("http://www.otzar.org/book.asp?140876","פירושים וביאורים מפרדס התורה")</f>
        <v>פירושים וביאורים מפרדס התורה</v>
      </c>
    </row>
    <row r="1742" spans="1:5" x14ac:dyDescent="0.2">
      <c r="A1742" t="s">
        <v>2781</v>
      </c>
      <c r="B1742" t="s">
        <v>157</v>
      </c>
      <c r="C1742" t="s">
        <v>86</v>
      </c>
      <c r="D1742" t="s">
        <v>249</v>
      </c>
      <c r="E1742" s="3" t="str">
        <f>HYPERLINK("http://www.otzar.org/book.asp?171729","פירושים להגדה של פסח")</f>
        <v>פירושים להגדה של פסח</v>
      </c>
    </row>
    <row r="1743" spans="1:5" x14ac:dyDescent="0.2">
      <c r="A1743" t="s">
        <v>2782</v>
      </c>
      <c r="B1743" t="s">
        <v>217</v>
      </c>
      <c r="C1743" t="s">
        <v>301</v>
      </c>
      <c r="D1743" t="s">
        <v>19</v>
      </c>
      <c r="E1743" s="3" t="str">
        <f>HYPERLINK("http://www.otzar.org/book.asp?146300","פלא הדורות")</f>
        <v>פלא הדורות</v>
      </c>
    </row>
    <row r="1744" spans="1:5" x14ac:dyDescent="0.2">
      <c r="A1744" t="s">
        <v>2783</v>
      </c>
      <c r="B1744" t="s">
        <v>564</v>
      </c>
      <c r="C1744" t="s">
        <v>2784</v>
      </c>
      <c r="D1744" t="s">
        <v>312</v>
      </c>
      <c r="E1744" s="3" t="str">
        <f>HYPERLINK("http://www.otzar.org/book.asp?15898","פלח הרמון - 6 כר'")</f>
        <v>פלח הרמון - 6 כר'</v>
      </c>
    </row>
    <row r="1745" spans="1:5" x14ac:dyDescent="0.2">
      <c r="A1745" t="s">
        <v>2785</v>
      </c>
      <c r="B1745" t="s">
        <v>108</v>
      </c>
      <c r="C1745" t="s">
        <v>119</v>
      </c>
      <c r="D1745" t="s">
        <v>816</v>
      </c>
      <c r="E1745" s="3" t="str">
        <f>HYPERLINK("http://www.otzar.org/book.asp?141332","פלפול התלמידים &lt;לונדון&gt;")</f>
        <v>פלפול התלמידים &lt;לונדון&gt;</v>
      </c>
    </row>
    <row r="1746" spans="1:5" x14ac:dyDescent="0.2">
      <c r="A1746" t="s">
        <v>2786</v>
      </c>
      <c r="B1746" t="s">
        <v>108</v>
      </c>
      <c r="C1746" t="s">
        <v>115</v>
      </c>
      <c r="D1746" t="s">
        <v>2787</v>
      </c>
      <c r="E1746" s="3" t="str">
        <f>HYPERLINK("http://www.otzar.org/book.asp?27341","פלפול התלמידים &lt;סיאטעל&gt; - 8 כר'")</f>
        <v>פלפול התלמידים &lt;סיאטעל&gt; - 8 כר'</v>
      </c>
    </row>
    <row r="1747" spans="1:5" x14ac:dyDescent="0.2">
      <c r="A1747" t="s">
        <v>2788</v>
      </c>
      <c r="B1747" t="s">
        <v>108</v>
      </c>
      <c r="C1747" t="s">
        <v>448</v>
      </c>
      <c r="D1747" t="s">
        <v>8</v>
      </c>
      <c r="E1747" s="3" t="str">
        <f>HYPERLINK("http://www.otzar.org/book.asp?154682","פלפול התלמידים (סינסינעטי אהייא) - ב")</f>
        <v>פלפול התלמידים (סינסינעטי אהייא) - ב</v>
      </c>
    </row>
    <row r="1748" spans="1:5" x14ac:dyDescent="0.2">
      <c r="A1748" t="s">
        <v>2789</v>
      </c>
      <c r="B1748" t="s">
        <v>2790</v>
      </c>
      <c r="C1748" t="s">
        <v>142</v>
      </c>
      <c r="D1748" t="s">
        <v>8</v>
      </c>
      <c r="E1748" s="3" t="str">
        <f>HYPERLINK("http://www.otzar.org/book.asp?615054","פלפול התלמידים - יו""ד שבט תשע""ח")</f>
        <v>פלפול התלמידים - יו"ד שבט תשע"ח</v>
      </c>
    </row>
    <row r="1749" spans="1:5" x14ac:dyDescent="0.2">
      <c r="A1749" t="s">
        <v>2791</v>
      </c>
      <c r="B1749" t="s">
        <v>2792</v>
      </c>
      <c r="C1749" t="s">
        <v>673</v>
      </c>
      <c r="D1749" t="s">
        <v>8</v>
      </c>
      <c r="E1749" s="3" t="str">
        <f>HYPERLINK("http://www.otzar.org/book.asp?145754","פלפול התלמידים - 14 כר'")</f>
        <v>פלפול התלמידים - 14 כר'</v>
      </c>
    </row>
    <row r="1750" spans="1:5" x14ac:dyDescent="0.2">
      <c r="A1750" t="s">
        <v>2793</v>
      </c>
      <c r="B1750" t="s">
        <v>108</v>
      </c>
      <c r="C1750" t="s">
        <v>482</v>
      </c>
      <c r="D1750" t="s">
        <v>40</v>
      </c>
      <c r="E1750" s="3" t="str">
        <f>HYPERLINK("http://www.otzar.org/book.asp?145467","פלפול התלמידים - 22 כר'")</f>
        <v>פלפול התלמידים - 22 כר'</v>
      </c>
    </row>
    <row r="1751" spans="1:5" x14ac:dyDescent="0.2">
      <c r="A1751" t="s">
        <v>2794</v>
      </c>
      <c r="B1751" t="s">
        <v>108</v>
      </c>
      <c r="C1751" t="s">
        <v>482</v>
      </c>
      <c r="D1751" t="s">
        <v>12</v>
      </c>
      <c r="E1751" s="3" t="str">
        <f>HYPERLINK("http://www.otzar.org/book.asp?145738","פלפול התמימים - 21 כר'")</f>
        <v>פלפול התמימים - 21 כר'</v>
      </c>
    </row>
    <row r="1752" spans="1:5" x14ac:dyDescent="0.2">
      <c r="A1752" t="s">
        <v>2795</v>
      </c>
      <c r="B1752" t="s">
        <v>30</v>
      </c>
      <c r="D1752" t="s">
        <v>571</v>
      </c>
      <c r="E1752" s="3" t="str">
        <f>HYPERLINK("http://www.otzar.org/book.asp?629101","פלפול נאה לבר המצוה")</f>
        <v>פלפול נאה לבר המצוה</v>
      </c>
    </row>
    <row r="1753" spans="1:5" x14ac:dyDescent="0.2">
      <c r="A1753" t="s">
        <v>2796</v>
      </c>
      <c r="B1753" t="s">
        <v>2797</v>
      </c>
      <c r="C1753" t="s">
        <v>36</v>
      </c>
      <c r="D1753" t="s">
        <v>166</v>
      </c>
      <c r="E1753" s="3" t="str">
        <f>HYPERLINK("http://www.otzar.org/book.asp?145643","פלפולא דאורייתא - 2 כר'")</f>
        <v>פלפולא דאורייתא - 2 כר'</v>
      </c>
    </row>
    <row r="1754" spans="1:5" x14ac:dyDescent="0.2">
      <c r="A1754" t="s">
        <v>2798</v>
      </c>
      <c r="B1754" t="s">
        <v>108</v>
      </c>
      <c r="C1754" t="s">
        <v>482</v>
      </c>
      <c r="D1754" t="s">
        <v>1228</v>
      </c>
      <c r="E1754" s="3" t="str">
        <f>HYPERLINK("http://www.otzar.org/book.asp?145522","פלפולי וביאורי חברת המתמידים")</f>
        <v>פלפולי וביאורי חברת המתמידים</v>
      </c>
    </row>
    <row r="1755" spans="1:5" x14ac:dyDescent="0.2">
      <c r="A1755" t="s">
        <v>2799</v>
      </c>
      <c r="B1755" t="s">
        <v>108</v>
      </c>
      <c r="C1755" t="s">
        <v>276</v>
      </c>
      <c r="D1755" t="s">
        <v>382</v>
      </c>
      <c r="E1755" s="3" t="str">
        <f>HYPERLINK("http://www.otzar.org/book.asp?140849","פלפולי תורה מגדל דוד")</f>
        <v>פלפולי תורה מגדל דוד</v>
      </c>
    </row>
    <row r="1756" spans="1:5" x14ac:dyDescent="0.2">
      <c r="A1756" t="s">
        <v>2800</v>
      </c>
      <c r="B1756" t="s">
        <v>2801</v>
      </c>
      <c r="C1756" t="s">
        <v>155</v>
      </c>
      <c r="D1756" t="s">
        <v>12</v>
      </c>
      <c r="E1756" s="3" t="str">
        <f>HYPERLINK("http://www.otzar.org/book.asp?27458","פני משה")</f>
        <v>פני משה</v>
      </c>
    </row>
    <row r="1757" spans="1:5" x14ac:dyDescent="0.2">
      <c r="A1757" t="s">
        <v>2802</v>
      </c>
      <c r="B1757" t="s">
        <v>431</v>
      </c>
      <c r="C1757" t="s">
        <v>54</v>
      </c>
      <c r="D1757" t="s">
        <v>8</v>
      </c>
      <c r="E1757" s="3" t="str">
        <f>HYPERLINK("http://www.otzar.org/book.asp?173829","פניני אברהם אליהו")</f>
        <v>פניני אברהם אליהו</v>
      </c>
    </row>
    <row r="1758" spans="1:5" x14ac:dyDescent="0.2">
      <c r="A1758" t="s">
        <v>2803</v>
      </c>
      <c r="B1758" t="s">
        <v>2804</v>
      </c>
      <c r="C1758" t="s">
        <v>44</v>
      </c>
      <c r="D1758" t="s">
        <v>2805</v>
      </c>
      <c r="E1758" s="3" t="str">
        <f>HYPERLINK("http://www.otzar.org/book.asp?173558","פניני אור - א")</f>
        <v>פניני אור - א</v>
      </c>
    </row>
    <row r="1759" spans="1:5" x14ac:dyDescent="0.2">
      <c r="A1759" t="s">
        <v>2806</v>
      </c>
      <c r="B1759" t="s">
        <v>1382</v>
      </c>
      <c r="C1759" t="s">
        <v>47</v>
      </c>
      <c r="D1759" t="s">
        <v>12</v>
      </c>
      <c r="E1759" s="3" t="str">
        <f>HYPERLINK("http://www.otzar.org/book.asp?140818","פניני הכתר - 3 כר'")</f>
        <v>פניני הכתר - 3 כר'</v>
      </c>
    </row>
    <row r="1760" spans="1:5" x14ac:dyDescent="0.2">
      <c r="A1760" t="s">
        <v>2807</v>
      </c>
      <c r="B1760" t="s">
        <v>2808</v>
      </c>
      <c r="C1760" t="s">
        <v>183</v>
      </c>
      <c r="D1760" t="s">
        <v>2809</v>
      </c>
      <c r="E1760" s="3" t="str">
        <f>HYPERLINK("http://www.otzar.org/book.asp?142723","פניני השבת")</f>
        <v>פניני השבת</v>
      </c>
    </row>
    <row r="1761" spans="1:5" x14ac:dyDescent="0.2">
      <c r="A1761" t="s">
        <v>2810</v>
      </c>
      <c r="B1761" t="s">
        <v>1619</v>
      </c>
      <c r="C1761" t="s">
        <v>477</v>
      </c>
      <c r="D1761" t="s">
        <v>12</v>
      </c>
      <c r="E1761" s="3" t="str">
        <f>HYPERLINK("http://www.otzar.org/book.asp?143304","פניני התניא")</f>
        <v>פניני התניא</v>
      </c>
    </row>
    <row r="1762" spans="1:5" x14ac:dyDescent="0.2">
      <c r="A1762" t="s">
        <v>2811</v>
      </c>
      <c r="B1762" t="s">
        <v>1446</v>
      </c>
      <c r="C1762" t="s">
        <v>165</v>
      </c>
      <c r="D1762" t="s">
        <v>8</v>
      </c>
      <c r="E1762" s="3" t="str">
        <f>HYPERLINK("http://www.otzar.org/book.asp?28811","פניני לוי יצחק - 2 כר'")</f>
        <v>פניני לוי יצחק - 2 כר'</v>
      </c>
    </row>
    <row r="1763" spans="1:5" x14ac:dyDescent="0.2">
      <c r="A1763" t="s">
        <v>2812</v>
      </c>
      <c r="B1763" t="s">
        <v>30</v>
      </c>
      <c r="C1763" t="s">
        <v>11</v>
      </c>
      <c r="D1763" t="s">
        <v>8</v>
      </c>
      <c r="E1763" s="3" t="str">
        <f>HYPERLINK("http://www.otzar.org/book.asp?164344","פניני מנחם - 3 כר'")</f>
        <v>פניני מנחם - 3 כר'</v>
      </c>
    </row>
    <row r="1764" spans="1:5" x14ac:dyDescent="0.2">
      <c r="A1764" t="s">
        <v>2813</v>
      </c>
      <c r="B1764" t="s">
        <v>2814</v>
      </c>
      <c r="C1764" t="s">
        <v>165</v>
      </c>
      <c r="D1764" t="s">
        <v>40</v>
      </c>
      <c r="E1764" s="3" t="str">
        <f>HYPERLINK("http://www.otzar.org/book.asp?26979","פניני תורה - 2 כר'")</f>
        <v>פניני תורה - 2 כר'</v>
      </c>
    </row>
    <row r="1765" spans="1:5" x14ac:dyDescent="0.2">
      <c r="A1765" t="s">
        <v>2815</v>
      </c>
      <c r="B1765" t="s">
        <v>108</v>
      </c>
      <c r="C1765" t="s">
        <v>18</v>
      </c>
      <c r="D1765" t="s">
        <v>166</v>
      </c>
      <c r="E1765" s="3" t="str">
        <f>HYPERLINK("http://www.otzar.org/book.asp?27577","פניני תורה - א")</f>
        <v>פניני תורה - א</v>
      </c>
    </row>
    <row r="1766" spans="1:5" x14ac:dyDescent="0.2">
      <c r="A1766" t="s">
        <v>2816</v>
      </c>
      <c r="B1766" t="s">
        <v>30</v>
      </c>
      <c r="C1766" t="s">
        <v>165</v>
      </c>
      <c r="D1766" t="s">
        <v>2817</v>
      </c>
      <c r="E1766" s="3" t="str">
        <f>HYPERLINK("http://www.otzar.org/book.asp?28831","פנינים על התורה והמועדים")</f>
        <v>פנינים על התורה והמועדים</v>
      </c>
    </row>
    <row r="1767" spans="1:5" x14ac:dyDescent="0.2">
      <c r="A1767" t="s">
        <v>2818</v>
      </c>
      <c r="B1767" t="s">
        <v>2819</v>
      </c>
      <c r="C1767" t="s">
        <v>350</v>
      </c>
      <c r="D1767" t="s">
        <v>12</v>
      </c>
      <c r="E1767" s="3" t="str">
        <f>HYPERLINK("http://www.otzar.org/book.asp?607851","פנסים")</f>
        <v>פנסים</v>
      </c>
    </row>
    <row r="1768" spans="1:5" x14ac:dyDescent="0.2">
      <c r="A1768" t="s">
        <v>2820</v>
      </c>
      <c r="B1768" t="s">
        <v>2821</v>
      </c>
      <c r="C1768" t="s">
        <v>31</v>
      </c>
      <c r="D1768" t="s">
        <v>2294</v>
      </c>
      <c r="E1768" s="3" t="str">
        <f>HYPERLINK("http://www.otzar.org/book.asp?146394","פסוק לי פסוקך")</f>
        <v>פסוק לי פסוקך</v>
      </c>
    </row>
    <row r="1769" spans="1:5" x14ac:dyDescent="0.2">
      <c r="A1769" t="s">
        <v>2822</v>
      </c>
      <c r="B1769" t="s">
        <v>2769</v>
      </c>
      <c r="C1769" t="s">
        <v>148</v>
      </c>
      <c r="D1769" t="s">
        <v>12</v>
      </c>
      <c r="E1769" s="3" t="str">
        <f>HYPERLINK("http://www.otzar.org/book.asp?28739","פסח חסידי - 4 כר'")</f>
        <v>פסח חסידי - 4 כר'</v>
      </c>
    </row>
    <row r="1770" spans="1:5" x14ac:dyDescent="0.2">
      <c r="A1770" t="s">
        <v>2823</v>
      </c>
      <c r="B1770" t="s">
        <v>473</v>
      </c>
      <c r="C1770" t="s">
        <v>18</v>
      </c>
      <c r="D1770" t="s">
        <v>101</v>
      </c>
      <c r="E1770" s="3" t="str">
        <f>HYPERLINK("http://www.otzar.org/book.asp?27649","פסח כהלכתו - הגדה של פסח עם מדריך הלכתי")</f>
        <v>פסח כהלכתו - הגדה של פסח עם מדריך הלכתי</v>
      </c>
    </row>
    <row r="1771" spans="1:5" x14ac:dyDescent="0.2">
      <c r="A1771" t="s">
        <v>2824</v>
      </c>
      <c r="B1771" t="s">
        <v>30</v>
      </c>
      <c r="C1771" t="s">
        <v>152</v>
      </c>
      <c r="D1771" t="s">
        <v>19</v>
      </c>
      <c r="E1771" s="3" t="str">
        <f>HYPERLINK("http://www.otzar.org/book.asp?141589","פסח שני")</f>
        <v>פסח שני</v>
      </c>
    </row>
    <row r="1772" spans="1:5" x14ac:dyDescent="0.2">
      <c r="A1772" t="s">
        <v>2825</v>
      </c>
      <c r="B1772" t="s">
        <v>842</v>
      </c>
      <c r="C1772" t="s">
        <v>82</v>
      </c>
      <c r="D1772" t="s">
        <v>12</v>
      </c>
      <c r="E1772" s="3" t="str">
        <f>HYPERLINK("http://www.otzar.org/book.asp?607939","פסח - יוצאים לחירות")</f>
        <v>פסח - יוצאים לחירות</v>
      </c>
    </row>
    <row r="1773" spans="1:5" x14ac:dyDescent="0.2">
      <c r="A1773" t="s">
        <v>2826</v>
      </c>
      <c r="B1773" t="s">
        <v>396</v>
      </c>
      <c r="C1773" t="s">
        <v>73</v>
      </c>
      <c r="D1773" t="s">
        <v>12</v>
      </c>
      <c r="E1773" s="3" t="str">
        <f>HYPERLINK("http://www.otzar.org/book.asp?181492","פסיפס")</f>
        <v>פסיפס</v>
      </c>
    </row>
    <row r="1774" spans="1:5" x14ac:dyDescent="0.2">
      <c r="A1774" t="s">
        <v>2827</v>
      </c>
      <c r="B1774" t="s">
        <v>2828</v>
      </c>
      <c r="C1774" t="s">
        <v>15</v>
      </c>
      <c r="D1774" t="s">
        <v>8</v>
      </c>
      <c r="E1774" s="3" t="str">
        <f>HYPERLINK("http://www.otzar.org/book.asp?189056","פסקי אדמו""ר האמצעי - גיטין פ""א")</f>
        <v>פסקי אדמו"ר האמצעי - גיטין פ"א</v>
      </c>
    </row>
    <row r="1775" spans="1:5" x14ac:dyDescent="0.2">
      <c r="A1775" t="s">
        <v>2829</v>
      </c>
      <c r="B1775" t="s">
        <v>2830</v>
      </c>
      <c r="C1775" t="s">
        <v>129</v>
      </c>
      <c r="D1775" t="s">
        <v>8</v>
      </c>
      <c r="E1775" s="3" t="str">
        <f>HYPERLINK("http://www.otzar.org/book.asp?143300","פסקי אדמו""ר הזקן בהלכות איסור והיתר - 2 כר'")</f>
        <v>פסקי אדמו"ר הזקן בהלכות איסור והיתר - 2 כר'</v>
      </c>
    </row>
    <row r="1776" spans="1:5" x14ac:dyDescent="0.2">
      <c r="A1776" t="s">
        <v>2831</v>
      </c>
      <c r="B1776" t="s">
        <v>2828</v>
      </c>
      <c r="C1776" t="s">
        <v>165</v>
      </c>
      <c r="D1776" t="s">
        <v>8</v>
      </c>
      <c r="E1776" s="3" t="str">
        <f>HYPERLINK("http://www.otzar.org/book.asp?142664","פסקי אדמו""ר הזקן - מסכת שבת א")</f>
        <v>פסקי אדמו"ר הזקן - מסכת שבת א</v>
      </c>
    </row>
    <row r="1777" spans="1:5" x14ac:dyDescent="0.2">
      <c r="A1777" t="s">
        <v>2832</v>
      </c>
      <c r="B1777" t="s">
        <v>2833</v>
      </c>
      <c r="C1777" t="s">
        <v>201</v>
      </c>
      <c r="D1777" t="s">
        <v>8</v>
      </c>
      <c r="E1777" s="3" t="str">
        <f>HYPERLINK("http://www.otzar.org/book.asp?146386","פסקי דינים בהלכות סת""ם")</f>
        <v>פסקי דינים בהלכות סת"ם</v>
      </c>
    </row>
    <row r="1778" spans="1:5" x14ac:dyDescent="0.2">
      <c r="A1778" t="s">
        <v>2834</v>
      </c>
      <c r="B1778" t="s">
        <v>43</v>
      </c>
      <c r="C1778" t="s">
        <v>161</v>
      </c>
      <c r="D1778" t="s">
        <v>92</v>
      </c>
      <c r="E1778" s="3" t="str">
        <f>HYPERLINK("http://www.otzar.org/book.asp?27070","פסקי דינים - יו""ד אה""ע")</f>
        <v>פסקי דינים - יו"ד אה"ע</v>
      </c>
    </row>
    <row r="1779" spans="1:5" x14ac:dyDescent="0.2">
      <c r="A1779" t="s">
        <v>2835</v>
      </c>
      <c r="B1779" t="s">
        <v>2836</v>
      </c>
      <c r="C1779" t="s">
        <v>2837</v>
      </c>
      <c r="D1779" t="s">
        <v>26</v>
      </c>
      <c r="E1779" s="3" t="str">
        <f>HYPERLINK("http://www.otzar.org/book.asp?11890","פסקי הסידור")</f>
        <v>פסקי הסידור</v>
      </c>
    </row>
    <row r="1780" spans="1:5" x14ac:dyDescent="0.2">
      <c r="A1780" t="s">
        <v>2838</v>
      </c>
      <c r="B1780" t="s">
        <v>2839</v>
      </c>
      <c r="C1780" t="s">
        <v>161</v>
      </c>
      <c r="D1780" t="s">
        <v>40</v>
      </c>
      <c r="E1780" s="3" t="str">
        <f>HYPERLINK("http://www.otzar.org/book.asp?146363","פסקי הרב")</f>
        <v>פסקי הרב</v>
      </c>
    </row>
    <row r="1781" spans="1:5" x14ac:dyDescent="0.2">
      <c r="A1781" t="s">
        <v>2840</v>
      </c>
      <c r="B1781" t="s">
        <v>2841</v>
      </c>
      <c r="C1781" t="s">
        <v>201</v>
      </c>
      <c r="D1781" t="s">
        <v>8</v>
      </c>
      <c r="E1781" s="3" t="str">
        <f>HYPERLINK("http://www.otzar.org/book.asp?28736","פסקי פרי מגדים")</f>
        <v>פסקי פרי מגדים</v>
      </c>
    </row>
    <row r="1782" spans="1:5" x14ac:dyDescent="0.2">
      <c r="A1782" t="s">
        <v>2842</v>
      </c>
      <c r="B1782" t="s">
        <v>108</v>
      </c>
      <c r="C1782" t="s">
        <v>161</v>
      </c>
      <c r="D1782" t="s">
        <v>332</v>
      </c>
      <c r="E1782" s="3" t="str">
        <f>HYPERLINK("http://www.otzar.org/book.asp?24836","פעמי יעקב - 44 כר'")</f>
        <v>פעמי יעקב - 44 כר'</v>
      </c>
    </row>
    <row r="1783" spans="1:5" x14ac:dyDescent="0.2">
      <c r="A1783" t="s">
        <v>2843</v>
      </c>
      <c r="B1783" t="s">
        <v>1418</v>
      </c>
      <c r="C1783" t="s">
        <v>111</v>
      </c>
      <c r="D1783" t="s">
        <v>116</v>
      </c>
      <c r="E1783" s="3" t="str">
        <f>HYPERLINK("http://www.otzar.org/book.asp?27326","פרד""ס שלום - 2 כר'")</f>
        <v>פרד"ס שלום - 2 כר'</v>
      </c>
    </row>
    <row r="1784" spans="1:5" x14ac:dyDescent="0.2">
      <c r="A1784" t="s">
        <v>2844</v>
      </c>
      <c r="B1784" t="s">
        <v>108</v>
      </c>
      <c r="C1784" t="s">
        <v>1060</v>
      </c>
      <c r="D1784" t="s">
        <v>101</v>
      </c>
      <c r="E1784" s="3" t="str">
        <f>HYPERLINK("http://www.otzar.org/book.asp?141424","פרדס התמים - א")</f>
        <v>פרדס התמים - א</v>
      </c>
    </row>
    <row r="1785" spans="1:5" x14ac:dyDescent="0.2">
      <c r="A1785" t="s">
        <v>2845</v>
      </c>
      <c r="B1785" t="s">
        <v>2846</v>
      </c>
      <c r="C1785" t="s">
        <v>213</v>
      </c>
      <c r="D1785" t="s">
        <v>12</v>
      </c>
      <c r="E1785" s="3" t="str">
        <f>HYPERLINK("http://www.otzar.org/book.asp?27429","פרדס חב""ד - 18 כר'")</f>
        <v>פרדס חב"ד - 18 כר'</v>
      </c>
    </row>
    <row r="1786" spans="1:5" x14ac:dyDescent="0.2">
      <c r="A1786" t="s">
        <v>2847</v>
      </c>
      <c r="B1786" t="s">
        <v>2848</v>
      </c>
      <c r="C1786" t="s">
        <v>44</v>
      </c>
      <c r="D1786" t="s">
        <v>571</v>
      </c>
      <c r="E1786" s="3" t="str">
        <f>HYPERLINK("http://www.otzar.org/book.asp?173490","פרופסור גרין שלום וברכה")</f>
        <v>פרופסור גרין שלום וברכה</v>
      </c>
    </row>
    <row r="1787" spans="1:5" x14ac:dyDescent="0.2">
      <c r="A1787" t="s">
        <v>2849</v>
      </c>
      <c r="B1787" t="s">
        <v>108</v>
      </c>
      <c r="C1787" t="s">
        <v>111</v>
      </c>
      <c r="D1787" t="s">
        <v>382</v>
      </c>
      <c r="E1787" s="3" t="str">
        <f>HYPERLINK("http://www.otzar.org/book.asp?140850","פרחי השלוחים")</f>
        <v>פרחי השלוחים</v>
      </c>
    </row>
    <row r="1788" spans="1:5" x14ac:dyDescent="0.2">
      <c r="A1788" t="s">
        <v>2850</v>
      </c>
      <c r="B1788" t="s">
        <v>2851</v>
      </c>
      <c r="C1788" t="s">
        <v>165</v>
      </c>
      <c r="D1788" t="s">
        <v>579</v>
      </c>
      <c r="E1788" s="3" t="str">
        <f>HYPERLINK("http://www.otzar.org/book.asp?160947","פרחי התמימים - א")</f>
        <v>פרחי התמימים - א</v>
      </c>
    </row>
    <row r="1789" spans="1:5" x14ac:dyDescent="0.2">
      <c r="A1789" t="s">
        <v>2850</v>
      </c>
      <c r="B1789" t="s">
        <v>2852</v>
      </c>
      <c r="C1789" t="s">
        <v>49</v>
      </c>
      <c r="D1789" t="s">
        <v>101</v>
      </c>
      <c r="E1789" s="3" t="str">
        <f>HYPERLINK("http://www.otzar.org/book.asp?27373","פרחי התמימים - א")</f>
        <v>פרחי התמימים - א</v>
      </c>
    </row>
    <row r="1790" spans="1:5" x14ac:dyDescent="0.2">
      <c r="A1790" t="s">
        <v>2853</v>
      </c>
      <c r="B1790" t="s">
        <v>2854</v>
      </c>
      <c r="C1790" t="s">
        <v>305</v>
      </c>
      <c r="D1790" t="s">
        <v>1150</v>
      </c>
      <c r="E1790" s="3" t="str">
        <f>HYPERLINK("http://www.otzar.org/book.asp?145742","פרחי התמימים - 14 כר'")</f>
        <v>פרחי התמימים - 14 כר'</v>
      </c>
    </row>
    <row r="1791" spans="1:5" x14ac:dyDescent="0.2">
      <c r="A1791" t="s">
        <v>2855</v>
      </c>
      <c r="B1791" t="s">
        <v>108</v>
      </c>
      <c r="C1791" t="s">
        <v>11</v>
      </c>
      <c r="D1791" t="s">
        <v>332</v>
      </c>
      <c r="E1791" s="3" t="str">
        <f>HYPERLINK("http://www.otzar.org/book.asp?168995","פרי ביכורי התמימים - 2 כר'")</f>
        <v>פרי ביכורי התמימים - 2 כר'</v>
      </c>
    </row>
    <row r="1792" spans="1:5" x14ac:dyDescent="0.2">
      <c r="A1792" t="s">
        <v>2856</v>
      </c>
      <c r="B1792" t="s">
        <v>2857</v>
      </c>
      <c r="C1792" t="s">
        <v>129</v>
      </c>
      <c r="D1792" t="s">
        <v>181</v>
      </c>
      <c r="E1792" s="3" t="str">
        <f>HYPERLINK("http://www.otzar.org/book.asp?146223","פרק תענוג - מתוך ספר משנת חב""ד")</f>
        <v>פרק תענוג - מתוך ספר משנת חב"ד</v>
      </c>
    </row>
    <row r="1793" spans="1:5" x14ac:dyDescent="0.2">
      <c r="A1793" t="s">
        <v>2858</v>
      </c>
      <c r="B1793" t="s">
        <v>2859</v>
      </c>
      <c r="C1793" t="s">
        <v>76</v>
      </c>
      <c r="D1793" t="s">
        <v>19</v>
      </c>
      <c r="E1793" s="3" t="str">
        <f>HYPERLINK("http://www.otzar.org/book.asp?142690","פרקי יומן")</f>
        <v>פרקי יומן</v>
      </c>
    </row>
    <row r="1794" spans="1:5" x14ac:dyDescent="0.2">
      <c r="A1794" t="s">
        <v>2860</v>
      </c>
      <c r="B1794" t="s">
        <v>2861</v>
      </c>
      <c r="C1794" t="s">
        <v>70</v>
      </c>
      <c r="D1794" t="s">
        <v>775</v>
      </c>
      <c r="E1794" s="3" t="str">
        <f>HYPERLINK("http://www.otzar.org/book.asp?11025","פרקי תשובה וגאולה")</f>
        <v>פרקי תשובה וגאולה</v>
      </c>
    </row>
    <row r="1795" spans="1:5" x14ac:dyDescent="0.2">
      <c r="A1795" t="s">
        <v>2862</v>
      </c>
      <c r="B1795" t="s">
        <v>2863</v>
      </c>
      <c r="C1795" t="s">
        <v>448</v>
      </c>
      <c r="D1795" t="s">
        <v>19</v>
      </c>
      <c r="E1795" s="3" t="str">
        <f>HYPERLINK("http://www.otzar.org/book.asp?146383","פרקים על כ""ק אדמו""ר שליט""א")</f>
        <v>פרקים על כ"ק אדמו"ר שליט"א</v>
      </c>
    </row>
    <row r="1796" spans="1:5" x14ac:dyDescent="0.2">
      <c r="A1796" t="s">
        <v>2864</v>
      </c>
      <c r="B1796" t="s">
        <v>2865</v>
      </c>
      <c r="C1796" t="s">
        <v>15</v>
      </c>
      <c r="D1796" t="s">
        <v>323</v>
      </c>
      <c r="E1796" s="3" t="str">
        <f>HYPERLINK("http://www.otzar.org/book.asp?189077","פרשה באהבה - 2 כר'")</f>
        <v>פרשה באהבה - 2 כר'</v>
      </c>
    </row>
    <row r="1797" spans="1:5" x14ac:dyDescent="0.2">
      <c r="A1797" t="s">
        <v>2866</v>
      </c>
      <c r="B1797" t="s">
        <v>1184</v>
      </c>
      <c r="C1797" t="s">
        <v>15</v>
      </c>
      <c r="D1797" t="s">
        <v>12</v>
      </c>
      <c r="E1797" s="3" t="str">
        <f>HYPERLINK("http://www.otzar.org/book.asp?189109","פרשיות עם הרבי - 5 כר'")</f>
        <v>פרשיות עם הרבי - 5 כר'</v>
      </c>
    </row>
    <row r="1798" spans="1:5" x14ac:dyDescent="0.2">
      <c r="A1798" t="s">
        <v>2867</v>
      </c>
      <c r="B1798" t="s">
        <v>2868</v>
      </c>
      <c r="C1798" t="s">
        <v>183</v>
      </c>
      <c r="D1798" t="s">
        <v>40</v>
      </c>
      <c r="E1798" s="3" t="str">
        <f>HYPERLINK("http://www.otzar.org/book.asp?28729","פשוטו של מקרא - 2 כר'")</f>
        <v>פשוטו של מקרא - 2 כר'</v>
      </c>
    </row>
    <row r="1799" spans="1:5" x14ac:dyDescent="0.2">
      <c r="A1799" t="s">
        <v>2869</v>
      </c>
      <c r="B1799" t="s">
        <v>2870</v>
      </c>
      <c r="C1799" t="s">
        <v>111</v>
      </c>
      <c r="D1799" t="s">
        <v>12</v>
      </c>
      <c r="E1799" s="3" t="str">
        <f>HYPERLINK("http://www.otzar.org/book.asp?27542","פתגמי הבעש""ט")</f>
        <v>פתגמי הבעש"ט</v>
      </c>
    </row>
    <row r="1800" spans="1:5" x14ac:dyDescent="0.2">
      <c r="A1800" t="s">
        <v>2871</v>
      </c>
      <c r="B1800" t="s">
        <v>33</v>
      </c>
      <c r="C1800" t="s">
        <v>34</v>
      </c>
      <c r="D1800" t="s">
        <v>12</v>
      </c>
      <c r="E1800" s="3" t="str">
        <f>HYPERLINK("http://www.otzar.org/book.asp?167737","פתגמי הרבי")</f>
        <v>פתגמי הרבי</v>
      </c>
    </row>
    <row r="1801" spans="1:5" x14ac:dyDescent="0.2">
      <c r="A1801" t="s">
        <v>2872</v>
      </c>
      <c r="B1801" t="s">
        <v>2873</v>
      </c>
      <c r="C1801" t="s">
        <v>2758</v>
      </c>
      <c r="D1801" t="s">
        <v>1058</v>
      </c>
      <c r="E1801" s="3" t="str">
        <f>HYPERLINK("http://www.otzar.org/book.asp?5440","פתגמין קדישין")</f>
        <v>פתגמין קדישין</v>
      </c>
    </row>
    <row r="1802" spans="1:5" x14ac:dyDescent="0.2">
      <c r="A1802" t="s">
        <v>2874</v>
      </c>
      <c r="B1802" t="s">
        <v>2875</v>
      </c>
      <c r="C1802" t="s">
        <v>7</v>
      </c>
      <c r="D1802" t="s">
        <v>1150</v>
      </c>
      <c r="E1802" s="3" t="str">
        <f>HYPERLINK("http://www.otzar.org/book.asp?630288","פתיחה - ביקורי רבותינו במאריסטאון")</f>
        <v>פתיחה - ביקורי רבותינו במאריסטאון</v>
      </c>
    </row>
    <row r="1803" spans="1:5" x14ac:dyDescent="0.2">
      <c r="A1803" t="s">
        <v>2876</v>
      </c>
      <c r="B1803" t="s">
        <v>30</v>
      </c>
      <c r="C1803" t="s">
        <v>350</v>
      </c>
      <c r="D1803" t="s">
        <v>208</v>
      </c>
      <c r="E1803" s="3" t="str">
        <f>HYPERLINK("http://www.otzar.org/book.asp?607699","פתקים משלחנו של הרבי - 2 כר'")</f>
        <v>פתקים משלחנו של הרבי - 2 כר'</v>
      </c>
    </row>
    <row r="1804" spans="1:5" x14ac:dyDescent="0.2">
      <c r="A1804" t="s">
        <v>2877</v>
      </c>
      <c r="B1804" t="s">
        <v>2877</v>
      </c>
      <c r="C1804" t="s">
        <v>111</v>
      </c>
      <c r="D1804" t="s">
        <v>71</v>
      </c>
      <c r="E1804" s="3" t="str">
        <f>HYPERLINK("http://www.otzar.org/book.asp?141444","צ""ח ניצוצי אור")</f>
        <v>צ"ח ניצוצי אור</v>
      </c>
    </row>
    <row r="1805" spans="1:5" x14ac:dyDescent="0.2">
      <c r="A1805" t="s">
        <v>2878</v>
      </c>
      <c r="B1805" t="s">
        <v>30</v>
      </c>
      <c r="C1805" t="s">
        <v>31</v>
      </c>
      <c r="D1805" t="s">
        <v>12</v>
      </c>
      <c r="E1805" s="3" t="str">
        <f>HYPERLINK("http://www.otzar.org/book.asp?141262","צדי""ק למלך - 7 כר'")</f>
        <v>צדי"ק למלך - 7 כר'</v>
      </c>
    </row>
    <row r="1806" spans="1:5" x14ac:dyDescent="0.2">
      <c r="A1806" t="s">
        <v>2879</v>
      </c>
      <c r="B1806" t="s">
        <v>677</v>
      </c>
      <c r="C1806" t="s">
        <v>82</v>
      </c>
      <c r="D1806" t="s">
        <v>12</v>
      </c>
      <c r="E1806" s="3" t="str">
        <f>HYPERLINK("http://www.otzar.org/book.asp?607992","צדיק הדור מנחיל אמונה")</f>
        <v>צדיק הדור מנחיל אמונה</v>
      </c>
    </row>
    <row r="1807" spans="1:5" x14ac:dyDescent="0.2">
      <c r="A1807" t="s">
        <v>2880</v>
      </c>
      <c r="B1807" t="s">
        <v>280</v>
      </c>
      <c r="C1807" t="s">
        <v>65</v>
      </c>
      <c r="D1807" t="s">
        <v>12</v>
      </c>
      <c r="E1807" s="3" t="str">
        <f>HYPERLINK("http://www.otzar.org/book.asp?141642","צדיק יסוד עולם")</f>
        <v>צדיק יסוד עולם</v>
      </c>
    </row>
    <row r="1808" spans="1:5" x14ac:dyDescent="0.2">
      <c r="A1808" t="s">
        <v>2881</v>
      </c>
      <c r="B1808" t="s">
        <v>2882</v>
      </c>
      <c r="C1808" t="s">
        <v>350</v>
      </c>
      <c r="D1808" t="s">
        <v>12</v>
      </c>
      <c r="E1808" s="3" t="str">
        <f>HYPERLINK("http://www.otzar.org/book.asp?607756","צדיקים וידידים")</f>
        <v>צדיקים וידידים</v>
      </c>
    </row>
    <row r="1809" spans="1:5" x14ac:dyDescent="0.2">
      <c r="A1809" t="s">
        <v>2883</v>
      </c>
      <c r="B1809" t="s">
        <v>1122</v>
      </c>
      <c r="C1809" t="s">
        <v>44</v>
      </c>
      <c r="D1809" t="s">
        <v>12</v>
      </c>
      <c r="E1809" s="3" t="str">
        <f>HYPERLINK("http://www.otzar.org/book.asp?610591","צדיקים למופת - 2 כר'")</f>
        <v>צדיקים למופת - 2 כר'</v>
      </c>
    </row>
    <row r="1810" spans="1:5" x14ac:dyDescent="0.2">
      <c r="A1810" t="s">
        <v>2884</v>
      </c>
      <c r="B1810" t="s">
        <v>108</v>
      </c>
      <c r="C1810" t="s">
        <v>39</v>
      </c>
      <c r="D1810" t="s">
        <v>40</v>
      </c>
      <c r="E1810" s="3" t="str">
        <f>HYPERLINK("http://www.otzar.org/book.asp?146267","צדקת ישראל - א")</f>
        <v>צדקת ישראל - א</v>
      </c>
    </row>
    <row r="1811" spans="1:5" x14ac:dyDescent="0.2">
      <c r="A1811" t="s">
        <v>2885</v>
      </c>
      <c r="B1811" t="s">
        <v>2886</v>
      </c>
      <c r="C1811" t="s">
        <v>15</v>
      </c>
      <c r="D1811" t="s">
        <v>8</v>
      </c>
      <c r="E1811" s="3" t="str">
        <f>HYPERLINK("http://www.otzar.org/book.asp?189275","צדקתו עומדת לעד")</f>
        <v>צדקתו עומדת לעד</v>
      </c>
    </row>
    <row r="1812" spans="1:5" x14ac:dyDescent="0.2">
      <c r="A1812" t="s">
        <v>2887</v>
      </c>
      <c r="B1812" t="s">
        <v>2888</v>
      </c>
      <c r="C1812" t="s">
        <v>54</v>
      </c>
      <c r="D1812" t="s">
        <v>19</v>
      </c>
      <c r="E1812" s="3" t="str">
        <f>HYPERLINK("http://www.otzar.org/book.asp?189103","צוהר לתיבה")</f>
        <v>צוהר לתיבה</v>
      </c>
    </row>
    <row r="1813" spans="1:5" x14ac:dyDescent="0.2">
      <c r="A1813" t="s">
        <v>2889</v>
      </c>
      <c r="B1813" t="s">
        <v>545</v>
      </c>
      <c r="C1813" t="s">
        <v>111</v>
      </c>
      <c r="D1813" t="s">
        <v>8</v>
      </c>
      <c r="E1813" s="3" t="str">
        <f>HYPERLINK("http://www.otzar.org/book.asp?27155","צוואת הריב""ש")</f>
        <v>צוואת הריב"ש</v>
      </c>
    </row>
    <row r="1814" spans="1:5" x14ac:dyDescent="0.2">
      <c r="A1814" t="s">
        <v>2890</v>
      </c>
      <c r="B1814" t="s">
        <v>545</v>
      </c>
      <c r="C1814" t="s">
        <v>82</v>
      </c>
      <c r="D1814" t="s">
        <v>8</v>
      </c>
      <c r="E1814" s="3" t="str">
        <f>HYPERLINK("http://www.otzar.org/book.asp?607983","צוואת ריב""ש (בתרגום אנגלית)")</f>
        <v>צוואת ריב"ש (בתרגום אנגלית)</v>
      </c>
    </row>
    <row r="1815" spans="1:5" x14ac:dyDescent="0.2">
      <c r="A1815" t="s">
        <v>2891</v>
      </c>
      <c r="B1815" t="s">
        <v>545</v>
      </c>
      <c r="C1815" t="s">
        <v>2016</v>
      </c>
      <c r="D1815" t="s">
        <v>2892</v>
      </c>
      <c r="E1815" s="3" t="str">
        <f>HYPERLINK("http://www.otzar.org/book.asp?102267","צוואת ריב""ש והנהגות ישרות - 4 כר'")</f>
        <v>צוואת ריב"ש והנהגות ישרות - 4 כר'</v>
      </c>
    </row>
    <row r="1816" spans="1:5" x14ac:dyDescent="0.2">
      <c r="A1816" t="s">
        <v>2893</v>
      </c>
      <c r="B1816" t="s">
        <v>108</v>
      </c>
      <c r="C1816" t="s">
        <v>1916</v>
      </c>
      <c r="D1816" t="s">
        <v>8</v>
      </c>
      <c r="E1816" s="3" t="str">
        <f>HYPERLINK("http://www.otzar.org/book.asp?146214","צום פינף און פערציג יעהריגען יובילעאום")</f>
        <v>צום פינף און פערציג יעהריגען יובילעאום</v>
      </c>
    </row>
    <row r="1817" spans="1:5" x14ac:dyDescent="0.2">
      <c r="A1817" t="s">
        <v>2894</v>
      </c>
      <c r="B1817" t="s">
        <v>2099</v>
      </c>
      <c r="C1817" t="s">
        <v>47</v>
      </c>
      <c r="D1817" t="s">
        <v>8</v>
      </c>
      <c r="E1817" s="3" t="str">
        <f>HYPERLINK("http://www.otzar.org/book.asp?53183","צורת הבית - עפ""י שיטת הרמב""ם")</f>
        <v>צורת הבית - עפ"י שיטת הרמב"ם</v>
      </c>
    </row>
    <row r="1818" spans="1:5" x14ac:dyDescent="0.2">
      <c r="A1818" t="s">
        <v>2895</v>
      </c>
      <c r="B1818" t="s">
        <v>108</v>
      </c>
      <c r="C1818" t="s">
        <v>155</v>
      </c>
      <c r="D1818" t="s">
        <v>2103</v>
      </c>
      <c r="E1818" s="3" t="str">
        <f>HYPERLINK("http://www.otzar.org/book.asp?27347","ציון לנפש חיה - ד")</f>
        <v>ציון לנפש חיה - ד</v>
      </c>
    </row>
    <row r="1819" spans="1:5" x14ac:dyDescent="0.2">
      <c r="A1819" t="s">
        <v>2896</v>
      </c>
      <c r="B1819" t="s">
        <v>2897</v>
      </c>
      <c r="C1819" t="s">
        <v>86</v>
      </c>
      <c r="D1819" t="s">
        <v>12</v>
      </c>
      <c r="E1819" s="3" t="str">
        <f>HYPERLINK("http://www.otzar.org/book.asp?143242","ציון לנפש")</f>
        <v>ציון לנפש</v>
      </c>
    </row>
    <row r="1820" spans="1:5" x14ac:dyDescent="0.2">
      <c r="A1820" t="s">
        <v>2898</v>
      </c>
      <c r="B1820" t="s">
        <v>2898</v>
      </c>
      <c r="C1820" t="s">
        <v>201</v>
      </c>
      <c r="D1820" t="s">
        <v>8</v>
      </c>
      <c r="E1820" s="3" t="str">
        <f>HYPERLINK("http://www.otzar.org/book.asp?27342","ציונים לספר משנה תורה")</f>
        <v>ציונים לספר משנה תורה</v>
      </c>
    </row>
    <row r="1821" spans="1:5" x14ac:dyDescent="0.2">
      <c r="A1821" t="s">
        <v>2899</v>
      </c>
      <c r="B1821" t="s">
        <v>514</v>
      </c>
      <c r="C1821" t="s">
        <v>44</v>
      </c>
      <c r="D1821" t="s">
        <v>8</v>
      </c>
      <c r="E1821" s="3" t="str">
        <f>HYPERLINK("http://www.otzar.org/book.asp?614921","ציור פני הרב")</f>
        <v>ציור פני הרב</v>
      </c>
    </row>
    <row r="1822" spans="1:5" x14ac:dyDescent="0.2">
      <c r="A1822" t="s">
        <v>2900</v>
      </c>
      <c r="B1822" t="s">
        <v>33</v>
      </c>
      <c r="C1822" t="s">
        <v>148</v>
      </c>
      <c r="D1822" t="s">
        <v>8</v>
      </c>
      <c r="E1822" s="3" t="str">
        <f>HYPERLINK("http://www.otzar.org/book.asp?141632","צילומי כתי""ק הקשורים להמשך יו""ט של ר""ה תרס""ו")</f>
        <v>צילומי כתי"ק הקשורים להמשך יו"ט של ר"ה תרס"ו</v>
      </c>
    </row>
    <row r="1823" spans="1:5" x14ac:dyDescent="0.2">
      <c r="A1823" t="s">
        <v>2901</v>
      </c>
      <c r="B1823" t="s">
        <v>566</v>
      </c>
      <c r="C1823" t="s">
        <v>119</v>
      </c>
      <c r="D1823" t="s">
        <v>12</v>
      </c>
      <c r="E1823" s="3" t="str">
        <f>HYPERLINK("http://www.otzar.org/book.asp?28760","ציצית - הלכה למעשה")</f>
        <v>ציצית - הלכה למעשה</v>
      </c>
    </row>
    <row r="1824" spans="1:5" x14ac:dyDescent="0.2">
      <c r="A1824" t="s">
        <v>2902</v>
      </c>
      <c r="B1824" t="s">
        <v>2903</v>
      </c>
      <c r="C1824" t="s">
        <v>18</v>
      </c>
      <c r="D1824" t="s">
        <v>19</v>
      </c>
      <c r="E1824" s="3" t="str">
        <f>HYPERLINK("http://www.otzar.org/book.asp?28013","צמאה לך נפשי - מבחר שירי מסורת &lt;עם תוים&gt;")</f>
        <v>צמאה לך נפשי - מבחר שירי מסורת &lt;עם תוים&gt;</v>
      </c>
    </row>
    <row r="1825" spans="1:5" x14ac:dyDescent="0.2">
      <c r="A1825" t="s">
        <v>2904</v>
      </c>
      <c r="B1825" t="s">
        <v>62</v>
      </c>
      <c r="C1825" t="s">
        <v>39</v>
      </c>
      <c r="D1825" t="s">
        <v>40</v>
      </c>
      <c r="E1825" s="3" t="str">
        <f>HYPERLINK("http://www.otzar.org/book.asp?141712","צמח צדק שו""ת &lt;טקסט&gt;")</f>
        <v>צמח צדק שו"ת &lt;טקסט&gt;</v>
      </c>
    </row>
    <row r="1826" spans="1:5" x14ac:dyDescent="0.2">
      <c r="A1826" t="s">
        <v>2905</v>
      </c>
      <c r="B1826" t="s">
        <v>62</v>
      </c>
      <c r="C1826" t="s">
        <v>2906</v>
      </c>
      <c r="D1826" t="s">
        <v>312</v>
      </c>
      <c r="E1826" s="3" t="str">
        <f>HYPERLINK("http://www.otzar.org/book.asp?19300","צמח צדק - 24 כר'")</f>
        <v>צמח צדק - 24 כר'</v>
      </c>
    </row>
    <row r="1827" spans="1:5" x14ac:dyDescent="0.2">
      <c r="A1827" t="s">
        <v>2907</v>
      </c>
      <c r="B1827" t="s">
        <v>62</v>
      </c>
      <c r="C1827" t="s">
        <v>119</v>
      </c>
      <c r="D1827" t="s">
        <v>12</v>
      </c>
      <c r="E1827" s="3" t="str">
        <f>HYPERLINK("http://www.otzar.org/book.asp?26169","צמח צדק, ספר השיחות")</f>
        <v>צמח צדק, ספר השיחות</v>
      </c>
    </row>
    <row r="1828" spans="1:5" x14ac:dyDescent="0.2">
      <c r="A1828" t="s">
        <v>842</v>
      </c>
      <c r="B1828" t="s">
        <v>2908</v>
      </c>
      <c r="C1828" t="s">
        <v>165</v>
      </c>
      <c r="D1828" t="s">
        <v>12</v>
      </c>
      <c r="E1828" s="3" t="str">
        <f>HYPERLINK("http://www.otzar.org/book.asp?26516","צעירי אגודת חב""ד")</f>
        <v>צעירי אגודת חב"ד</v>
      </c>
    </row>
    <row r="1829" spans="1:5" x14ac:dyDescent="0.2">
      <c r="A1829" t="s">
        <v>2909</v>
      </c>
      <c r="B1829" t="s">
        <v>1108</v>
      </c>
      <c r="C1829" t="s">
        <v>119</v>
      </c>
      <c r="D1829" t="s">
        <v>12</v>
      </c>
      <c r="E1829" s="3" t="str">
        <f>HYPERLINK("http://www.otzar.org/book.asp?146284","צעקת המלך - 2 כר'")</f>
        <v>צעקת המלך - 2 כר'</v>
      </c>
    </row>
    <row r="1830" spans="1:5" x14ac:dyDescent="0.2">
      <c r="A1830" t="s">
        <v>2910</v>
      </c>
      <c r="B1830" t="s">
        <v>2911</v>
      </c>
      <c r="C1830" t="s">
        <v>1756</v>
      </c>
      <c r="D1830" t="s">
        <v>40</v>
      </c>
      <c r="E1830" s="3" t="str">
        <f>HYPERLINK("http://www.otzar.org/book.asp?141334","צפית לישועה")</f>
        <v>צפית לישועה</v>
      </c>
    </row>
    <row r="1831" spans="1:5" x14ac:dyDescent="0.2">
      <c r="A1831" t="s">
        <v>2912</v>
      </c>
      <c r="B1831" t="s">
        <v>30</v>
      </c>
      <c r="C1831" t="s">
        <v>213</v>
      </c>
      <c r="D1831" t="s">
        <v>249</v>
      </c>
      <c r="E1831" s="3" t="str">
        <f>HYPERLINK("http://www.otzar.org/book.asp?142671","צפת עיר הקודש")</f>
        <v>צפת עיר הקודש</v>
      </c>
    </row>
    <row r="1832" spans="1:5" x14ac:dyDescent="0.2">
      <c r="A1832" t="s">
        <v>2913</v>
      </c>
      <c r="B1832" t="s">
        <v>108</v>
      </c>
      <c r="C1832" t="s">
        <v>31</v>
      </c>
      <c r="D1832" t="s">
        <v>2914</v>
      </c>
      <c r="E1832" s="3" t="str">
        <f>HYPERLINK("http://www.otzar.org/book.asp?145466","צרפת פרצת - 17 כר'")</f>
        <v>צרפת פרצת - 17 כר'</v>
      </c>
    </row>
    <row r="1833" spans="1:5" x14ac:dyDescent="0.2">
      <c r="A1833" t="s">
        <v>2915</v>
      </c>
      <c r="B1833" t="s">
        <v>6</v>
      </c>
      <c r="C1833" t="s">
        <v>73</v>
      </c>
      <c r="E1833" s="3" t="str">
        <f>HYPERLINK("http://www.otzar.org/book.asp?627076","קאר א וועלט")</f>
        <v>קאר א וועלט</v>
      </c>
    </row>
    <row r="1834" spans="1:5" x14ac:dyDescent="0.2">
      <c r="A1834" t="s">
        <v>2916</v>
      </c>
      <c r="B1834" t="s">
        <v>2841</v>
      </c>
      <c r="C1834" t="s">
        <v>165</v>
      </c>
      <c r="D1834" t="s">
        <v>8</v>
      </c>
      <c r="E1834" s="3" t="str">
        <f>HYPERLINK("http://www.otzar.org/book.asp?27041","קב נקי")</f>
        <v>קב נקי</v>
      </c>
    </row>
    <row r="1835" spans="1:5" x14ac:dyDescent="0.2">
      <c r="A1835" t="s">
        <v>2917</v>
      </c>
      <c r="B1835" t="s">
        <v>239</v>
      </c>
      <c r="C1835" t="s">
        <v>191</v>
      </c>
      <c r="D1835" t="s">
        <v>816</v>
      </c>
      <c r="E1835" s="3" t="str">
        <f>HYPERLINK("http://www.otzar.org/book.asp?85200","קבלה היא בידך")</f>
        <v>קבלה היא בידך</v>
      </c>
    </row>
    <row r="1836" spans="1:5" x14ac:dyDescent="0.2">
      <c r="A1836" t="s">
        <v>2918</v>
      </c>
      <c r="B1836" t="s">
        <v>6</v>
      </c>
      <c r="C1836" t="s">
        <v>82</v>
      </c>
      <c r="D1836" t="s">
        <v>8</v>
      </c>
      <c r="E1836" s="3" t="str">
        <f>HYPERLINK("http://www.otzar.org/book.asp?197197","קבלו מלכותי")</f>
        <v>קבלו מלכותי</v>
      </c>
    </row>
    <row r="1837" spans="1:5" x14ac:dyDescent="0.2">
      <c r="A1837" t="s">
        <v>2919</v>
      </c>
      <c r="B1837" t="s">
        <v>1418</v>
      </c>
      <c r="C1837" t="s">
        <v>31</v>
      </c>
      <c r="D1837" t="s">
        <v>116</v>
      </c>
      <c r="E1837" s="3" t="str">
        <f>HYPERLINK("http://www.otzar.org/book.asp?141407","קבלת פני משיח צדקנו")</f>
        <v>קבלת פני משיח צדקנו</v>
      </c>
    </row>
    <row r="1838" spans="1:5" x14ac:dyDescent="0.2">
      <c r="A1838" t="s">
        <v>2920</v>
      </c>
      <c r="B1838" t="s">
        <v>30</v>
      </c>
      <c r="C1838" t="s">
        <v>111</v>
      </c>
      <c r="D1838" t="s">
        <v>8</v>
      </c>
      <c r="E1838" s="3" t="str">
        <f>HYPERLINK("http://www.otzar.org/book.asp?27545","קבלת פנים")</f>
        <v>קבלת פנים</v>
      </c>
    </row>
    <row r="1839" spans="1:5" x14ac:dyDescent="0.2">
      <c r="A1839" t="s">
        <v>2921</v>
      </c>
      <c r="B1839" t="s">
        <v>6</v>
      </c>
      <c r="C1839" t="s">
        <v>7</v>
      </c>
      <c r="D1839" t="s">
        <v>8</v>
      </c>
      <c r="E1839" s="3" t="str">
        <f>HYPERLINK("http://www.otzar.org/book.asp?622252","קבצים של תשרי - 2 כר'")</f>
        <v>קבצים של תשרי - 2 כר'</v>
      </c>
    </row>
    <row r="1840" spans="1:5" x14ac:dyDescent="0.2">
      <c r="A1840" t="s">
        <v>2922</v>
      </c>
      <c r="B1840" t="s">
        <v>2629</v>
      </c>
      <c r="C1840" t="s">
        <v>488</v>
      </c>
      <c r="D1840" t="s">
        <v>8</v>
      </c>
      <c r="E1840" s="3" t="str">
        <f>HYPERLINK("http://www.otzar.org/book.asp?146208","קדוש ותפלות - ראש השנה, שמחת תורה")</f>
        <v>קדוש ותפלות - ראש השנה, שמחת תורה</v>
      </c>
    </row>
    <row r="1841" spans="1:5" x14ac:dyDescent="0.2">
      <c r="A1841" t="s">
        <v>2923</v>
      </c>
      <c r="B1841" t="s">
        <v>642</v>
      </c>
      <c r="C1841" t="s">
        <v>76</v>
      </c>
      <c r="D1841" t="s">
        <v>19</v>
      </c>
      <c r="E1841" s="3" t="str">
        <f>HYPERLINK("http://www.otzar.org/book.asp?146340","קדושת המקדש")</f>
        <v>קדושת המקדש</v>
      </c>
    </row>
    <row r="1842" spans="1:5" x14ac:dyDescent="0.2">
      <c r="A1842" t="s">
        <v>2924</v>
      </c>
      <c r="B1842" t="s">
        <v>6</v>
      </c>
      <c r="C1842" t="s">
        <v>7</v>
      </c>
      <c r="D1842" t="s">
        <v>8</v>
      </c>
      <c r="E1842" s="3" t="str">
        <f>HYPERLINK("http://www.otzar.org/book.asp?627060","קדמונך תחילה - ימי הסליחות")</f>
        <v>קדמונך תחילה - ימי הסליחות</v>
      </c>
    </row>
    <row r="1843" spans="1:5" x14ac:dyDescent="0.2">
      <c r="A1843" t="s">
        <v>2925</v>
      </c>
      <c r="B1843" t="s">
        <v>2926</v>
      </c>
      <c r="C1843" t="s">
        <v>82</v>
      </c>
      <c r="D1843" t="s">
        <v>788</v>
      </c>
      <c r="E1843" s="3" t="str">
        <f>HYPERLINK("http://www.otzar.org/book.asp?199953","קובץ אב מלך")</f>
        <v>קובץ אב מלך</v>
      </c>
    </row>
    <row r="1844" spans="1:5" x14ac:dyDescent="0.2">
      <c r="A1844" t="s">
        <v>2927</v>
      </c>
      <c r="B1844" t="s">
        <v>108</v>
      </c>
      <c r="C1844" t="s">
        <v>22</v>
      </c>
      <c r="D1844" t="s">
        <v>1955</v>
      </c>
      <c r="E1844" s="3" t="str">
        <f>HYPERLINK("http://www.otzar.org/book.asp?145664","קובץ אור המגדל - א")</f>
        <v>קובץ אור המגדל - א</v>
      </c>
    </row>
    <row r="1845" spans="1:5" x14ac:dyDescent="0.2">
      <c r="A1845" t="s">
        <v>2928</v>
      </c>
      <c r="B1845" t="s">
        <v>108</v>
      </c>
      <c r="C1845" t="s">
        <v>39</v>
      </c>
      <c r="D1845" t="s">
        <v>19</v>
      </c>
      <c r="E1845" s="3" t="str">
        <f>HYPERLINK("http://www.otzar.org/book.asp?142684","קובץ אור וחיות נפשנו")</f>
        <v>קובץ אור וחיות נפשנו</v>
      </c>
    </row>
    <row r="1846" spans="1:5" x14ac:dyDescent="0.2">
      <c r="A1846" t="s">
        <v>2929</v>
      </c>
      <c r="B1846" t="s">
        <v>108</v>
      </c>
      <c r="C1846" t="s">
        <v>86</v>
      </c>
      <c r="D1846" t="s">
        <v>8</v>
      </c>
      <c r="E1846" s="3" t="str">
        <f>HYPERLINK("http://www.otzar.org/book.asp?627073","קובץ אני לדודי - 2 כר'")</f>
        <v>קובץ אני לדודי - 2 כר'</v>
      </c>
    </row>
    <row r="1847" spans="1:5" x14ac:dyDescent="0.2">
      <c r="A1847" t="s">
        <v>2930</v>
      </c>
      <c r="B1847" t="s">
        <v>230</v>
      </c>
      <c r="C1847" t="s">
        <v>111</v>
      </c>
      <c r="D1847" t="s">
        <v>19</v>
      </c>
      <c r="E1847" s="3" t="str">
        <f>HYPERLINK("http://www.otzar.org/book.asp?143301","קובץ אשל אברהם")</f>
        <v>קובץ אשל אברהם</v>
      </c>
    </row>
    <row r="1848" spans="1:5" x14ac:dyDescent="0.2">
      <c r="A1848" t="s">
        <v>2931</v>
      </c>
      <c r="B1848" t="s">
        <v>30</v>
      </c>
      <c r="C1848" t="s">
        <v>119</v>
      </c>
      <c r="D1848" t="s">
        <v>8</v>
      </c>
      <c r="E1848" s="3" t="str">
        <f>HYPERLINK("http://www.otzar.org/book.asp?26486","קובץ ב' אייר תשנ""ה - סיום אמירת קדיש")</f>
        <v>קובץ ב' אייר תשנ"ה - סיום אמירת קדיש</v>
      </c>
    </row>
    <row r="1849" spans="1:5" x14ac:dyDescent="0.2">
      <c r="A1849" t="s">
        <v>2932</v>
      </c>
      <c r="B1849" t="s">
        <v>108</v>
      </c>
      <c r="C1849" t="s">
        <v>161</v>
      </c>
      <c r="D1849" t="s">
        <v>12</v>
      </c>
      <c r="E1849" s="3" t="str">
        <f>HYPERLINK("http://www.otzar.org/book.asp?141437","קובץ בדידי הוה עובדא - 2 כר'")</f>
        <v>קובץ בדידי הוה עובדא - 2 כר'</v>
      </c>
    </row>
    <row r="1850" spans="1:5" x14ac:dyDescent="0.2">
      <c r="A1850" t="s">
        <v>2933</v>
      </c>
      <c r="B1850" t="s">
        <v>33</v>
      </c>
      <c r="C1850" t="s">
        <v>11</v>
      </c>
      <c r="D1850" t="s">
        <v>12</v>
      </c>
      <c r="E1850" s="3" t="str">
        <f>HYPERLINK("http://www.otzar.org/book.asp?162879","קובץ ביאורי סוגיות בתורת רבינו")</f>
        <v>קובץ ביאורי סוגיות בתורת רבינו</v>
      </c>
    </row>
    <row r="1851" spans="1:5" x14ac:dyDescent="0.2">
      <c r="A1851" t="s">
        <v>2934</v>
      </c>
      <c r="B1851" t="s">
        <v>2935</v>
      </c>
      <c r="C1851" t="s">
        <v>34</v>
      </c>
      <c r="D1851" t="s">
        <v>12</v>
      </c>
      <c r="E1851" s="3" t="str">
        <f>HYPERLINK("http://www.otzar.org/book.asp?156442","קובץ ביאורים והערות - 2 כר'")</f>
        <v>קובץ ביאורים והערות - 2 כר'</v>
      </c>
    </row>
    <row r="1852" spans="1:5" x14ac:dyDescent="0.2">
      <c r="A1852" t="s">
        <v>2936</v>
      </c>
      <c r="B1852" t="s">
        <v>30</v>
      </c>
      <c r="C1852" t="s">
        <v>152</v>
      </c>
      <c r="D1852" t="s">
        <v>8</v>
      </c>
      <c r="E1852" s="3" t="str">
        <f>HYPERLINK("http://www.otzar.org/book.asp?145931","קובץ בין המצרים")</f>
        <v>קובץ בין המצרים</v>
      </c>
    </row>
    <row r="1853" spans="1:5" x14ac:dyDescent="0.2">
      <c r="A1853" t="s">
        <v>2937</v>
      </c>
      <c r="B1853" t="s">
        <v>108</v>
      </c>
      <c r="C1853" t="s">
        <v>152</v>
      </c>
      <c r="D1853" t="s">
        <v>8</v>
      </c>
      <c r="E1853" s="3" t="str">
        <f>HYPERLINK("http://www.otzar.org/book.asp?27714","קובץ בית ישראל")</f>
        <v>קובץ בית ישראל</v>
      </c>
    </row>
    <row r="1854" spans="1:5" x14ac:dyDescent="0.2">
      <c r="A1854" t="s">
        <v>2938</v>
      </c>
      <c r="B1854" t="s">
        <v>108</v>
      </c>
      <c r="C1854" t="s">
        <v>73</v>
      </c>
      <c r="D1854" t="s">
        <v>8</v>
      </c>
      <c r="E1854" s="3" t="str">
        <f>HYPERLINK("http://www.otzar.org/book.asp?181642","קובץ בני מעמד")</f>
        <v>קובץ בני מעמד</v>
      </c>
    </row>
    <row r="1855" spans="1:5" x14ac:dyDescent="0.2">
      <c r="A1855" t="s">
        <v>2939</v>
      </c>
      <c r="B1855" t="s">
        <v>2940</v>
      </c>
      <c r="C1855" t="s">
        <v>115</v>
      </c>
      <c r="D1855" t="s">
        <v>2941</v>
      </c>
      <c r="E1855" s="3" t="str">
        <f>HYPERLINK("http://www.otzar.org/book.asp?145622","קובץ דברי תורה - 6 כר'")</f>
        <v>קובץ דברי תורה - 6 כר'</v>
      </c>
    </row>
    <row r="1856" spans="1:5" x14ac:dyDescent="0.2">
      <c r="A1856" t="s">
        <v>2942</v>
      </c>
      <c r="B1856" t="s">
        <v>2943</v>
      </c>
      <c r="C1856" t="s">
        <v>49</v>
      </c>
      <c r="D1856" t="s">
        <v>816</v>
      </c>
      <c r="E1856" s="3" t="str">
        <f>HYPERLINK("http://www.otzar.org/book.asp?27540","קובץ דברי תורה - 4 כר'")</f>
        <v>קובץ דברי תורה - 4 כר'</v>
      </c>
    </row>
    <row r="1857" spans="1:5" x14ac:dyDescent="0.2">
      <c r="A1857" t="s">
        <v>2944</v>
      </c>
      <c r="B1857" t="s">
        <v>2945</v>
      </c>
      <c r="C1857" t="s">
        <v>60</v>
      </c>
      <c r="D1857" t="s">
        <v>116</v>
      </c>
      <c r="E1857" s="3" t="str">
        <f>HYPERLINK("http://www.otzar.org/book.asp?27319","קובץ דברי תורה - 2 כר'")</f>
        <v>קובץ דברי תורה - 2 כר'</v>
      </c>
    </row>
    <row r="1858" spans="1:5" x14ac:dyDescent="0.2">
      <c r="A1858" t="s">
        <v>2942</v>
      </c>
      <c r="B1858" t="s">
        <v>2946</v>
      </c>
      <c r="C1858" t="s">
        <v>482</v>
      </c>
      <c r="D1858" t="s">
        <v>249</v>
      </c>
      <c r="E1858" s="3" t="str">
        <f>HYPERLINK("http://www.otzar.org/book.asp?145800","קובץ דברי תורה - 4 כר'")</f>
        <v>קובץ דברי תורה - 4 כר'</v>
      </c>
    </row>
    <row r="1859" spans="1:5" x14ac:dyDescent="0.2">
      <c r="A1859" t="s">
        <v>2947</v>
      </c>
      <c r="B1859" t="s">
        <v>2948</v>
      </c>
      <c r="C1859" t="s">
        <v>305</v>
      </c>
      <c r="D1859" t="s">
        <v>12</v>
      </c>
      <c r="E1859" s="3" t="str">
        <f>HYPERLINK("http://www.otzar.org/book.asp?27740","קובץ דברי תורה - 5 כר'")</f>
        <v>קובץ דברי תורה - 5 כר'</v>
      </c>
    </row>
    <row r="1860" spans="1:5" x14ac:dyDescent="0.2">
      <c r="A1860" t="s">
        <v>2949</v>
      </c>
      <c r="B1860" t="s">
        <v>2950</v>
      </c>
      <c r="C1860" t="s">
        <v>305</v>
      </c>
      <c r="D1860" t="s">
        <v>8</v>
      </c>
      <c r="E1860" s="3" t="str">
        <f>HYPERLINK("http://www.otzar.org/book.asp?27469","קובץ דברי תורה - 13 כר'")</f>
        <v>קובץ דברי תורה - 13 כר'</v>
      </c>
    </row>
    <row r="1861" spans="1:5" x14ac:dyDescent="0.2">
      <c r="A1861" t="s">
        <v>2951</v>
      </c>
      <c r="B1861" t="s">
        <v>2952</v>
      </c>
      <c r="C1861" t="s">
        <v>111</v>
      </c>
      <c r="D1861" t="s">
        <v>249</v>
      </c>
      <c r="E1861" s="3" t="str">
        <f>HYPERLINK("http://www.otzar.org/book.asp?161303","קובץ דברי תורה")</f>
        <v>קובץ דברי תורה</v>
      </c>
    </row>
    <row r="1862" spans="1:5" x14ac:dyDescent="0.2">
      <c r="A1862" t="s">
        <v>2953</v>
      </c>
      <c r="B1862" t="s">
        <v>2954</v>
      </c>
      <c r="C1862" t="s">
        <v>482</v>
      </c>
      <c r="D1862" t="s">
        <v>166</v>
      </c>
      <c r="E1862" s="3" t="str">
        <f>HYPERLINK("http://www.otzar.org/book.asp?27718","קובץ דברי תורה - 3 כר'")</f>
        <v>קובץ דברי תורה - 3 כר'</v>
      </c>
    </row>
    <row r="1863" spans="1:5" x14ac:dyDescent="0.2">
      <c r="A1863" t="s">
        <v>2955</v>
      </c>
      <c r="B1863" t="s">
        <v>108</v>
      </c>
      <c r="C1863" t="s">
        <v>22</v>
      </c>
      <c r="D1863" t="s">
        <v>463</v>
      </c>
      <c r="E1863" s="3" t="str">
        <f>HYPERLINK("http://www.otzar.org/book.asp?145960","קובץ דברי תורה -")</f>
        <v>קובץ דברי תורה -</v>
      </c>
    </row>
    <row r="1864" spans="1:5" x14ac:dyDescent="0.2">
      <c r="A1864" t="s">
        <v>2956</v>
      </c>
      <c r="B1864" t="s">
        <v>2957</v>
      </c>
      <c r="C1864" t="s">
        <v>65</v>
      </c>
      <c r="D1864" t="s">
        <v>8</v>
      </c>
      <c r="E1864" s="3" t="str">
        <f>HYPERLINK("http://www.otzar.org/book.asp?145880","קובץ דידן נצח - 4 כר'")</f>
        <v>קובץ דידן נצח - 4 כר'</v>
      </c>
    </row>
    <row r="1865" spans="1:5" x14ac:dyDescent="0.2">
      <c r="A1865" t="s">
        <v>2958</v>
      </c>
      <c r="B1865" t="s">
        <v>2959</v>
      </c>
      <c r="C1865" t="s">
        <v>15</v>
      </c>
      <c r="D1865" t="s">
        <v>816</v>
      </c>
      <c r="E1865" s="3" t="str">
        <f>HYPERLINK("http://www.otzar.org/book.asp?189055","קובץ דרך המלך - א (שנה לב)")</f>
        <v>קובץ דרך המלך - א (שנה לב)</v>
      </c>
    </row>
    <row r="1866" spans="1:5" x14ac:dyDescent="0.2">
      <c r="A1866" t="s">
        <v>2960</v>
      </c>
      <c r="B1866" t="s">
        <v>2961</v>
      </c>
      <c r="D1866" t="s">
        <v>19</v>
      </c>
      <c r="E1866" s="3" t="str">
        <f>HYPERLINK("http://www.otzar.org/book.asp?607722","קובץ ה' טבת - שלשים שנה")</f>
        <v>קובץ ה' טבת - שלשים שנה</v>
      </c>
    </row>
    <row r="1867" spans="1:5" x14ac:dyDescent="0.2">
      <c r="A1867" t="s">
        <v>2962</v>
      </c>
      <c r="B1867" t="s">
        <v>108</v>
      </c>
      <c r="C1867" t="s">
        <v>161</v>
      </c>
      <c r="D1867" t="s">
        <v>8</v>
      </c>
      <c r="E1867" s="3" t="str">
        <f>HYPERLINK("http://www.otzar.org/book.asp?27455","קובץ הארבעים")</f>
        <v>קובץ הארבעים</v>
      </c>
    </row>
    <row r="1868" spans="1:5" x14ac:dyDescent="0.2">
      <c r="A1868" t="s">
        <v>2963</v>
      </c>
      <c r="B1868" t="s">
        <v>2964</v>
      </c>
      <c r="C1868" t="s">
        <v>39</v>
      </c>
      <c r="D1868" t="s">
        <v>332</v>
      </c>
      <c r="E1868" s="3" t="str">
        <f>HYPERLINK("http://www.otzar.org/book.asp?142709","קובץ הארות והערות במסכת גיטין")</f>
        <v>קובץ הארות והערות במסכת גיטין</v>
      </c>
    </row>
    <row r="1869" spans="1:5" x14ac:dyDescent="0.2">
      <c r="A1869" t="s">
        <v>2965</v>
      </c>
      <c r="B1869" t="s">
        <v>108</v>
      </c>
      <c r="C1869" t="s">
        <v>49</v>
      </c>
      <c r="D1869" t="s">
        <v>1285</v>
      </c>
      <c r="E1869" s="3" t="str">
        <f>HYPERLINK("http://www.otzar.org/book.asp?27321","קובץ הדרת מלך")</f>
        <v>קובץ הדרת מלך</v>
      </c>
    </row>
    <row r="1870" spans="1:5" x14ac:dyDescent="0.2">
      <c r="A1870" t="s">
        <v>2966</v>
      </c>
      <c r="B1870" t="s">
        <v>2967</v>
      </c>
      <c r="C1870" t="s">
        <v>22</v>
      </c>
      <c r="D1870" t="s">
        <v>19</v>
      </c>
      <c r="E1870" s="3" t="str">
        <f>HYPERLINK("http://www.otzar.org/book.asp?146555","קובץ הוספות מנהגים והערות לספר המנהגים")</f>
        <v>קובץ הוספות מנהגים והערות לספר המנהגים</v>
      </c>
    </row>
    <row r="1871" spans="1:5" x14ac:dyDescent="0.2">
      <c r="A1871" t="s">
        <v>2968</v>
      </c>
      <c r="B1871" t="s">
        <v>2969</v>
      </c>
      <c r="C1871" t="s">
        <v>76</v>
      </c>
      <c r="D1871" t="s">
        <v>19</v>
      </c>
      <c r="E1871" s="3" t="str">
        <f>HYPERLINK("http://www.otzar.org/book.asp?141427","קובץ הוראות")</f>
        <v>קובץ הוראות</v>
      </c>
    </row>
    <row r="1872" spans="1:5" x14ac:dyDescent="0.2">
      <c r="A1872" t="s">
        <v>2970</v>
      </c>
      <c r="B1872" t="s">
        <v>108</v>
      </c>
      <c r="C1872" t="s">
        <v>18</v>
      </c>
      <c r="D1872" t="s">
        <v>8</v>
      </c>
      <c r="E1872" s="3" t="str">
        <f>HYPERLINK("http://www.otzar.org/book.asp?27445","קובץ החמישים - עוז למלך")</f>
        <v>קובץ החמישים - עוז למלך</v>
      </c>
    </row>
    <row r="1873" spans="1:5" x14ac:dyDescent="0.2">
      <c r="A1873" t="s">
        <v>2971</v>
      </c>
      <c r="B1873" t="s">
        <v>108</v>
      </c>
      <c r="C1873" t="s">
        <v>18</v>
      </c>
      <c r="D1873" t="s">
        <v>8</v>
      </c>
      <c r="E1873" s="3" t="str">
        <f>HYPERLINK("http://www.otzar.org/book.asp?27448","קובץ היובל - 2 כר'")</f>
        <v>קובץ היובל - 2 כר'</v>
      </c>
    </row>
    <row r="1874" spans="1:5" x14ac:dyDescent="0.2">
      <c r="A1874" t="s">
        <v>2972</v>
      </c>
      <c r="B1874" t="s">
        <v>1856</v>
      </c>
      <c r="C1874" t="s">
        <v>11</v>
      </c>
      <c r="D1874" t="s">
        <v>12</v>
      </c>
      <c r="E1874" s="3" t="str">
        <f>HYPERLINK("http://www.otzar.org/book.asp?163131","קובץ הכנה י""א ניסן שנת הק""י - 2 כר'")</f>
        <v>קובץ הכנה י"א ניסן שנת הק"י - 2 כר'</v>
      </c>
    </row>
    <row r="1875" spans="1:5" x14ac:dyDescent="0.2">
      <c r="A1875" t="s">
        <v>2973</v>
      </c>
      <c r="B1875" t="s">
        <v>1856</v>
      </c>
      <c r="C1875" t="s">
        <v>142</v>
      </c>
      <c r="D1875" t="s">
        <v>12</v>
      </c>
      <c r="E1875" s="3" t="str">
        <f>HYPERLINK("http://www.otzar.org/book.asp?616790","קובץ הכנה י""א ניסן שנת הקט""ז")</f>
        <v>קובץ הכנה י"א ניסן שנת הקט"ז</v>
      </c>
    </row>
    <row r="1876" spans="1:5" x14ac:dyDescent="0.2">
      <c r="A1876" t="s">
        <v>2974</v>
      </c>
      <c r="B1876" t="s">
        <v>1856</v>
      </c>
      <c r="C1876" t="s">
        <v>191</v>
      </c>
      <c r="D1876" t="s">
        <v>12</v>
      </c>
      <c r="E1876" s="3" t="str">
        <f>HYPERLINK("http://www.otzar.org/book.asp?160879","קובץ הכנה י""א ניסן - 2 כר'")</f>
        <v>קובץ הכנה י"א ניסן - 2 כר'</v>
      </c>
    </row>
    <row r="1877" spans="1:5" x14ac:dyDescent="0.2">
      <c r="A1877" t="s">
        <v>1856</v>
      </c>
      <c r="B1877" t="s">
        <v>1856</v>
      </c>
      <c r="C1877" t="s">
        <v>165</v>
      </c>
      <c r="D1877" t="s">
        <v>240</v>
      </c>
      <c r="E1877" s="3" t="str">
        <f>HYPERLINK("http://www.otzar.org/book.asp?29250","קובץ הכנה")</f>
        <v>קובץ הכנה</v>
      </c>
    </row>
    <row r="1878" spans="1:5" x14ac:dyDescent="0.2">
      <c r="A1878" t="s">
        <v>2975</v>
      </c>
      <c r="B1878" t="s">
        <v>906</v>
      </c>
      <c r="C1878" t="s">
        <v>142</v>
      </c>
      <c r="D1878" t="s">
        <v>12</v>
      </c>
      <c r="E1878" s="3" t="str">
        <f>HYPERLINK("http://www.otzar.org/book.asp?616798","קובץ הלכות פורים - תשע""ח")</f>
        <v>קובץ הלכות פורים - תשע"ח</v>
      </c>
    </row>
    <row r="1879" spans="1:5" x14ac:dyDescent="0.2">
      <c r="A1879" t="s">
        <v>2976</v>
      </c>
      <c r="B1879" t="s">
        <v>906</v>
      </c>
      <c r="C1879" t="s">
        <v>142</v>
      </c>
      <c r="D1879" t="s">
        <v>12</v>
      </c>
      <c r="E1879" s="3" t="str">
        <f>HYPERLINK("http://www.otzar.org/book.asp?616804","קובץ הלכות פסח - תשע""ח")</f>
        <v>קובץ הלכות פסח - תשע"ח</v>
      </c>
    </row>
    <row r="1880" spans="1:5" x14ac:dyDescent="0.2">
      <c r="A1880" t="s">
        <v>2977</v>
      </c>
      <c r="B1880" t="s">
        <v>108</v>
      </c>
      <c r="C1880" t="s">
        <v>54</v>
      </c>
      <c r="D1880" t="s">
        <v>19</v>
      </c>
      <c r="E1880" s="3" t="str">
        <f>HYPERLINK("http://www.otzar.org/book.asp?167745","קובץ המאה ועשר")</f>
        <v>קובץ המאה ועשר</v>
      </c>
    </row>
    <row r="1881" spans="1:5" x14ac:dyDescent="0.2">
      <c r="A1881" t="s">
        <v>2978</v>
      </c>
      <c r="B1881" t="s">
        <v>2978</v>
      </c>
      <c r="C1881" t="s">
        <v>47</v>
      </c>
      <c r="D1881" t="s">
        <v>12</v>
      </c>
      <c r="E1881" s="3" t="str">
        <f>HYPERLINK("http://www.otzar.org/book.asp?145951","קובץ המשפיעים")</f>
        <v>קובץ המשפיעים</v>
      </c>
    </row>
    <row r="1882" spans="1:5" x14ac:dyDescent="0.2">
      <c r="A1882" t="s">
        <v>2979</v>
      </c>
      <c r="B1882" t="s">
        <v>108</v>
      </c>
      <c r="C1882" t="s">
        <v>2980</v>
      </c>
      <c r="D1882" t="s">
        <v>1533</v>
      </c>
      <c r="E1882" s="3" t="str">
        <f>HYPERLINK("http://www.otzar.org/book.asp?146044","קובץ הערות (בוסטון) - א-ה")</f>
        <v>קובץ הערות (בוסטון) - א-ה</v>
      </c>
    </row>
    <row r="1883" spans="1:5" x14ac:dyDescent="0.2">
      <c r="A1883" t="s">
        <v>2981</v>
      </c>
      <c r="B1883" t="s">
        <v>2982</v>
      </c>
      <c r="C1883" t="s">
        <v>122</v>
      </c>
      <c r="D1883" t="s">
        <v>8</v>
      </c>
      <c r="E1883" s="3" t="str">
        <f>HYPERLINK("http://www.otzar.org/book.asp?145646","קובץ הערות במאמרי כ""ק אדמו""ר - תשמ""ט")</f>
        <v>קובץ הערות במאמרי כ"ק אדמו"ר - תשמ"ט</v>
      </c>
    </row>
    <row r="1884" spans="1:5" x14ac:dyDescent="0.2">
      <c r="A1884" t="s">
        <v>2983</v>
      </c>
      <c r="B1884" t="s">
        <v>108</v>
      </c>
      <c r="C1884" t="s">
        <v>213</v>
      </c>
      <c r="D1884" t="s">
        <v>332</v>
      </c>
      <c r="E1884" s="3" t="str">
        <f>HYPERLINK("http://www.otzar.org/book.asp?141359","קובץ הערות בנגלה ובדא""ח - א")</f>
        <v>קובץ הערות בנגלה ובדא"ח - א</v>
      </c>
    </row>
    <row r="1885" spans="1:5" x14ac:dyDescent="0.2">
      <c r="A1885" t="s">
        <v>2984</v>
      </c>
      <c r="B1885" t="s">
        <v>108</v>
      </c>
      <c r="C1885" t="s">
        <v>15</v>
      </c>
      <c r="D1885" t="s">
        <v>8</v>
      </c>
      <c r="E1885" s="3" t="str">
        <f>HYPERLINK("http://www.otzar.org/book.asp?189052","קובץ הערות וביאורים (חובבי תורה) - שנה כ' א (ד)")</f>
        <v>קובץ הערות וביאורים (חובבי תורה) - שנה כ' א (ד)</v>
      </c>
    </row>
    <row r="1886" spans="1:5" x14ac:dyDescent="0.2">
      <c r="A1886" t="s">
        <v>2985</v>
      </c>
      <c r="B1886" t="s">
        <v>108</v>
      </c>
      <c r="C1886" t="s">
        <v>54</v>
      </c>
      <c r="D1886" t="s">
        <v>2986</v>
      </c>
      <c r="E1886" s="3" t="str">
        <f>HYPERLINK("http://www.otzar.org/book.asp?169929","קובץ הערות וביאורים (מנצ'סתר) - לב")</f>
        <v>קובץ הערות וביאורים (מנצ'סתר) - לב</v>
      </c>
    </row>
    <row r="1887" spans="1:5" x14ac:dyDescent="0.2">
      <c r="A1887" t="s">
        <v>2987</v>
      </c>
      <c r="C1887" t="s">
        <v>86</v>
      </c>
      <c r="D1887" t="s">
        <v>1002</v>
      </c>
      <c r="E1887" s="3" t="str">
        <f>HYPERLINK("http://www.otzar.org/book.asp?142736","קובץ הערות וביאורים - (דטרויט,מישיגן) טז")</f>
        <v>קובץ הערות וביאורים - (דטרויט,מישיגן) טז</v>
      </c>
    </row>
    <row r="1888" spans="1:5" x14ac:dyDescent="0.2">
      <c r="A1888" t="s">
        <v>2988</v>
      </c>
      <c r="B1888" t="s">
        <v>1124</v>
      </c>
      <c r="C1888" t="s">
        <v>82</v>
      </c>
      <c r="D1888" t="s">
        <v>249</v>
      </c>
      <c r="E1888" s="3" t="str">
        <f>HYPERLINK("http://www.otzar.org/book.asp?197859","קובץ הערות וביאורים - יו""ד שבט")</f>
        <v>קובץ הערות וביאורים - יו"ד שבט</v>
      </c>
    </row>
    <row r="1889" spans="1:5" x14ac:dyDescent="0.2">
      <c r="A1889" t="s">
        <v>2989</v>
      </c>
      <c r="B1889" t="s">
        <v>2990</v>
      </c>
      <c r="C1889" t="s">
        <v>142</v>
      </c>
      <c r="D1889" t="s">
        <v>2991</v>
      </c>
      <c r="E1889" s="3" t="str">
        <f>HYPERLINK("http://www.otzar.org/book.asp?615042","קובץ הערות וביאורים - 2 כר'")</f>
        <v>קובץ הערות וביאורים - 2 כר'</v>
      </c>
    </row>
    <row r="1890" spans="1:5" x14ac:dyDescent="0.2">
      <c r="A1890" t="s">
        <v>2992</v>
      </c>
      <c r="B1890" t="s">
        <v>1010</v>
      </c>
      <c r="C1890" t="s">
        <v>76</v>
      </c>
      <c r="D1890" t="s">
        <v>8</v>
      </c>
      <c r="E1890" s="3" t="str">
        <f>HYPERLINK("http://www.otzar.org/book.asp?145973","קובץ הערות וביאורים - 633 כר'")</f>
        <v>קובץ הערות וביאורים - 633 כר'</v>
      </c>
    </row>
    <row r="1891" spans="1:5" x14ac:dyDescent="0.2">
      <c r="A1891" t="s">
        <v>2989</v>
      </c>
      <c r="B1891" t="s">
        <v>2993</v>
      </c>
      <c r="C1891" t="s">
        <v>82</v>
      </c>
      <c r="D1891" t="s">
        <v>2986</v>
      </c>
      <c r="E1891" s="3" t="str">
        <f>HYPERLINK("http://www.otzar.org/book.asp?196694","קובץ הערות וביאורים - 2 כר'")</f>
        <v>קובץ הערות וביאורים - 2 כר'</v>
      </c>
    </row>
    <row r="1892" spans="1:5" x14ac:dyDescent="0.2">
      <c r="A1892" t="s">
        <v>2994</v>
      </c>
      <c r="B1892" t="s">
        <v>108</v>
      </c>
      <c r="C1892" t="s">
        <v>111</v>
      </c>
      <c r="D1892" t="s">
        <v>654</v>
      </c>
      <c r="E1892" s="3" t="str">
        <f>HYPERLINK("http://www.otzar.org/book.asp?158600","קובץ הערות וביאורים - 22 כר'")</f>
        <v>קובץ הערות וביאורים - 22 כר'</v>
      </c>
    </row>
    <row r="1893" spans="1:5" x14ac:dyDescent="0.2">
      <c r="A1893" t="s">
        <v>2995</v>
      </c>
      <c r="B1893" t="s">
        <v>1688</v>
      </c>
      <c r="C1893" t="s">
        <v>288</v>
      </c>
      <c r="D1893" t="s">
        <v>8</v>
      </c>
      <c r="E1893" s="3" t="str">
        <f>HYPERLINK("http://www.otzar.org/book.asp?630476","קובץ הערות וביאורים - 3 כר'")</f>
        <v>קובץ הערות וביאורים - 3 כר'</v>
      </c>
    </row>
    <row r="1894" spans="1:5" x14ac:dyDescent="0.2">
      <c r="A1894" t="s">
        <v>2996</v>
      </c>
      <c r="B1894" t="s">
        <v>108</v>
      </c>
      <c r="C1894" t="s">
        <v>34</v>
      </c>
      <c r="D1894" t="s">
        <v>116</v>
      </c>
      <c r="E1894" s="3" t="str">
        <f>HYPERLINK("http://www.otzar.org/book.asp?174175","קובץ הערות ועיונים - 6 כר'")</f>
        <v>קובץ הערות ועיונים - 6 כר'</v>
      </c>
    </row>
    <row r="1895" spans="1:5" x14ac:dyDescent="0.2">
      <c r="A1895" t="s">
        <v>2997</v>
      </c>
      <c r="B1895" t="s">
        <v>2998</v>
      </c>
      <c r="C1895" t="s">
        <v>54</v>
      </c>
      <c r="D1895" t="s">
        <v>8</v>
      </c>
      <c r="E1895" s="3" t="str">
        <f>HYPERLINK("http://www.otzar.org/book.asp?614747","קובץ הערות ופלפולים")</f>
        <v>קובץ הערות ופלפולים</v>
      </c>
    </row>
    <row r="1896" spans="1:5" x14ac:dyDescent="0.2">
      <c r="A1896" t="s">
        <v>2999</v>
      </c>
      <c r="B1896" t="s">
        <v>2999</v>
      </c>
      <c r="C1896" t="s">
        <v>18</v>
      </c>
      <c r="D1896" t="s">
        <v>19</v>
      </c>
      <c r="E1896" s="3" t="str">
        <f>HYPERLINK("http://www.otzar.org/book.asp?140948","קובץ הפך בה והפך בה")</f>
        <v>קובץ הפך בה והפך בה</v>
      </c>
    </row>
    <row r="1897" spans="1:5" x14ac:dyDescent="0.2">
      <c r="A1897" t="s">
        <v>3000</v>
      </c>
      <c r="B1897" t="s">
        <v>30</v>
      </c>
      <c r="C1897" t="s">
        <v>119</v>
      </c>
      <c r="D1897" t="s">
        <v>8</v>
      </c>
      <c r="E1897" s="3" t="str">
        <f>HYPERLINK("http://www.otzar.org/book.asp?26902","קובץ הקהל")</f>
        <v>קובץ הקהל</v>
      </c>
    </row>
    <row r="1898" spans="1:5" x14ac:dyDescent="0.2">
      <c r="A1898" t="s">
        <v>3001</v>
      </c>
      <c r="B1898" t="s">
        <v>3002</v>
      </c>
      <c r="C1898" t="s">
        <v>34</v>
      </c>
      <c r="D1898" t="s">
        <v>8</v>
      </c>
      <c r="E1898" s="3" t="str">
        <f>HYPERLINK("http://www.otzar.org/book.asp?156446","קובץ השישים")</f>
        <v>קובץ השישים</v>
      </c>
    </row>
    <row r="1899" spans="1:5" x14ac:dyDescent="0.2">
      <c r="A1899" t="s">
        <v>3003</v>
      </c>
      <c r="B1899" t="s">
        <v>108</v>
      </c>
      <c r="C1899" t="s">
        <v>47</v>
      </c>
      <c r="D1899" t="s">
        <v>8</v>
      </c>
      <c r="E1899" s="3" t="str">
        <f>HYPERLINK("http://www.otzar.org/book.asp?27280","קובץ השלוחים")</f>
        <v>קובץ השלוחים</v>
      </c>
    </row>
    <row r="1900" spans="1:5" x14ac:dyDescent="0.2">
      <c r="A1900" t="s">
        <v>3004</v>
      </c>
      <c r="B1900" t="s">
        <v>664</v>
      </c>
      <c r="C1900" t="s">
        <v>7</v>
      </c>
      <c r="D1900" t="s">
        <v>19</v>
      </c>
      <c r="E1900" s="3" t="str">
        <f>HYPERLINK("http://www.otzar.org/book.asp?632010","קובץ השליחות - מבצע עבודת השליחות")</f>
        <v>קובץ השליחות - מבצע עבודת השליחות</v>
      </c>
    </row>
    <row r="1901" spans="1:5" x14ac:dyDescent="0.2">
      <c r="A1901" t="s">
        <v>3005</v>
      </c>
      <c r="B1901" t="s">
        <v>3005</v>
      </c>
      <c r="C1901" t="s">
        <v>34</v>
      </c>
      <c r="D1901" t="s">
        <v>19</v>
      </c>
      <c r="E1901" s="3" t="str">
        <f>HYPERLINK("http://www.otzar.org/book.asp?157280","קובץ התקשרות")</f>
        <v>קובץ התקשרות</v>
      </c>
    </row>
    <row r="1902" spans="1:5" x14ac:dyDescent="0.2">
      <c r="A1902" t="s">
        <v>3006</v>
      </c>
      <c r="B1902" t="s">
        <v>30</v>
      </c>
      <c r="C1902" t="s">
        <v>47</v>
      </c>
      <c r="D1902" t="s">
        <v>8</v>
      </c>
      <c r="E1902" s="3" t="str">
        <f>HYPERLINK("http://www.otzar.org/book.asp?146526","קובץ ו' תשרי")</f>
        <v>קובץ ו' תשרי</v>
      </c>
    </row>
    <row r="1903" spans="1:5" x14ac:dyDescent="0.2">
      <c r="A1903" t="s">
        <v>3007</v>
      </c>
      <c r="B1903" t="s">
        <v>30</v>
      </c>
      <c r="C1903" t="s">
        <v>76</v>
      </c>
      <c r="D1903" t="s">
        <v>12</v>
      </c>
      <c r="E1903" s="3" t="str">
        <f>HYPERLINK("http://www.otzar.org/book.asp?145954","קובץ ובחודש השביעי")</f>
        <v>קובץ ובחודש השביעי</v>
      </c>
    </row>
    <row r="1904" spans="1:5" x14ac:dyDescent="0.2">
      <c r="A1904" t="s">
        <v>3008</v>
      </c>
      <c r="C1904" t="s">
        <v>142</v>
      </c>
      <c r="E1904" s="3" t="str">
        <f>HYPERLINK("http://www.otzar.org/book.asp?622235","קובץ והיה מחנך קדוש")</f>
        <v>קובץ והיה מחנך קדוש</v>
      </c>
    </row>
    <row r="1905" spans="1:5" x14ac:dyDescent="0.2">
      <c r="A1905" t="s">
        <v>3009</v>
      </c>
      <c r="B1905" t="s">
        <v>3009</v>
      </c>
      <c r="C1905" t="s">
        <v>165</v>
      </c>
      <c r="D1905" t="s">
        <v>8</v>
      </c>
      <c r="E1905" s="3" t="str">
        <f>HYPERLINK("http://www.otzar.org/book.asp?142747","קובץ ולדבקה בו")</f>
        <v>קובץ ולדבקה בו</v>
      </c>
    </row>
    <row r="1906" spans="1:5" x14ac:dyDescent="0.2">
      <c r="A1906" t="s">
        <v>3010</v>
      </c>
      <c r="B1906" t="s">
        <v>3011</v>
      </c>
      <c r="C1906" t="s">
        <v>76</v>
      </c>
      <c r="D1906" t="s">
        <v>19</v>
      </c>
      <c r="E1906" s="3" t="str">
        <f>HYPERLINK("http://www.otzar.org/book.asp?608412","קובץ זכרון לר' אהרן יהודה חיטריק זצ""ל")</f>
        <v>קובץ זכרון לר' אהרן יהודה חיטריק זצ"ל</v>
      </c>
    </row>
    <row r="1907" spans="1:5" x14ac:dyDescent="0.2">
      <c r="A1907" t="s">
        <v>3012</v>
      </c>
      <c r="B1907" t="s">
        <v>3011</v>
      </c>
      <c r="C1907" t="s">
        <v>54</v>
      </c>
      <c r="D1907" t="s">
        <v>19</v>
      </c>
      <c r="E1907" s="3" t="str">
        <f>HYPERLINK("http://www.otzar.org/book.asp?608020","קובץ זכרון לרב אהרן חיטריק")</f>
        <v>קובץ זכרון לרב אהרן חיטריק</v>
      </c>
    </row>
    <row r="1908" spans="1:5" x14ac:dyDescent="0.2">
      <c r="A1908" t="s">
        <v>3013</v>
      </c>
      <c r="B1908" t="s">
        <v>3014</v>
      </c>
      <c r="C1908" t="s">
        <v>15</v>
      </c>
      <c r="D1908" t="s">
        <v>80</v>
      </c>
      <c r="E1908" s="3" t="str">
        <f>HYPERLINK("http://www.otzar.org/book.asp?607667","קובץ זכרון עשרה מאמרות")</f>
        <v>קובץ זכרון עשרה מאמרות</v>
      </c>
    </row>
    <row r="1909" spans="1:5" x14ac:dyDescent="0.2">
      <c r="A1909" t="s">
        <v>3011</v>
      </c>
      <c r="B1909" t="s">
        <v>3015</v>
      </c>
      <c r="C1909" t="s">
        <v>350</v>
      </c>
      <c r="D1909" t="s">
        <v>19</v>
      </c>
      <c r="E1909" s="3" t="str">
        <f>HYPERLINK("http://www.otzar.org/book.asp?606130","קובץ זכרון")</f>
        <v>קובץ זכרון</v>
      </c>
    </row>
    <row r="1910" spans="1:5" x14ac:dyDescent="0.2">
      <c r="A1910" t="s">
        <v>3011</v>
      </c>
      <c r="B1910" t="s">
        <v>3016</v>
      </c>
      <c r="C1910" t="s">
        <v>52</v>
      </c>
      <c r="D1910" t="s">
        <v>8</v>
      </c>
      <c r="E1910" s="3" t="str">
        <f>HYPERLINK("http://www.otzar.org/book.asp?614968","קובץ זכרון")</f>
        <v>קובץ זכרון</v>
      </c>
    </row>
    <row r="1911" spans="1:5" x14ac:dyDescent="0.2">
      <c r="A1911" t="s">
        <v>3017</v>
      </c>
      <c r="B1911" t="s">
        <v>108</v>
      </c>
      <c r="C1911" t="s">
        <v>126</v>
      </c>
      <c r="D1911" t="s">
        <v>3018</v>
      </c>
      <c r="E1911" s="3" t="str">
        <f>HYPERLINK("http://www.otzar.org/book.asp?161296","קובץ חידושי תורה (כרמיאל)")</f>
        <v>קובץ חידושי תורה (כרמיאל)</v>
      </c>
    </row>
    <row r="1912" spans="1:5" x14ac:dyDescent="0.2">
      <c r="A1912" t="s">
        <v>3019</v>
      </c>
      <c r="E1912" s="3" t="str">
        <f>HYPERLINK("http://www.otzar.org/book.asp?609848","קובץ חידושי תורה זכרון גרשון")</f>
        <v>קובץ חידושי תורה זכרון גרשון</v>
      </c>
    </row>
    <row r="1913" spans="1:5" x14ac:dyDescent="0.2">
      <c r="A1913" t="s">
        <v>3020</v>
      </c>
      <c r="B1913" t="s">
        <v>108</v>
      </c>
      <c r="C1913" t="s">
        <v>65</v>
      </c>
      <c r="D1913" t="s">
        <v>3021</v>
      </c>
      <c r="E1913" s="3" t="str">
        <f>HYPERLINK("http://www.otzar.org/book.asp?145964","קובץ חידושי תורה על ספר משנה תורה")</f>
        <v>קובץ חידושי תורה על ספר משנה תורה</v>
      </c>
    </row>
    <row r="1914" spans="1:5" x14ac:dyDescent="0.2">
      <c r="A1914" t="s">
        <v>180</v>
      </c>
      <c r="B1914" t="s">
        <v>3022</v>
      </c>
      <c r="C1914" t="s">
        <v>488</v>
      </c>
      <c r="D1914" t="s">
        <v>92</v>
      </c>
      <c r="E1914" s="3" t="str">
        <f>HYPERLINK("http://www.otzar.org/book.asp?143315","קובץ חידושי תורה")</f>
        <v>קובץ חידושי תורה</v>
      </c>
    </row>
    <row r="1915" spans="1:5" x14ac:dyDescent="0.2">
      <c r="A1915" t="s">
        <v>3023</v>
      </c>
      <c r="B1915" t="s">
        <v>1376</v>
      </c>
      <c r="C1915" t="s">
        <v>350</v>
      </c>
      <c r="D1915" t="s">
        <v>101</v>
      </c>
      <c r="E1915" s="3" t="str">
        <f>HYPERLINK("http://www.otzar.org/book.asp?611981","קובץ חידושי תורה - א")</f>
        <v>קובץ חידושי תורה - א</v>
      </c>
    </row>
    <row r="1916" spans="1:5" x14ac:dyDescent="0.2">
      <c r="A1916" t="s">
        <v>3024</v>
      </c>
      <c r="B1916" t="s">
        <v>108</v>
      </c>
      <c r="C1916" t="s">
        <v>301</v>
      </c>
      <c r="D1916" t="s">
        <v>12</v>
      </c>
      <c r="E1916" s="3" t="str">
        <f>HYPERLINK("http://www.otzar.org/book.asp?141536","קובץ חידושי תורה - 44 כר'")</f>
        <v>קובץ חידושי תורה - 44 כר'</v>
      </c>
    </row>
    <row r="1917" spans="1:5" x14ac:dyDescent="0.2">
      <c r="A1917" t="s">
        <v>3025</v>
      </c>
      <c r="B1917" t="s">
        <v>108</v>
      </c>
      <c r="C1917" t="s">
        <v>60</v>
      </c>
      <c r="D1917" t="s">
        <v>12</v>
      </c>
      <c r="E1917" s="3" t="str">
        <f>HYPERLINK("http://www.otzar.org/book.asp?27717","קובץ חידושים ובאורים - 3 כר'")</f>
        <v>קובץ חידושים ובאורים - 3 כר'</v>
      </c>
    </row>
    <row r="1918" spans="1:5" x14ac:dyDescent="0.2">
      <c r="A1918" t="s">
        <v>3026</v>
      </c>
      <c r="B1918" t="s">
        <v>3027</v>
      </c>
      <c r="C1918" t="s">
        <v>350</v>
      </c>
      <c r="D1918" t="s">
        <v>80</v>
      </c>
      <c r="E1918" s="3" t="str">
        <f>HYPERLINK("http://www.otzar.org/book.asp?610056","קובץ חידושים וביאורים תורת אמת - 2 כר'")</f>
        <v>קובץ חידושים וביאורים תורת אמת - 2 כר'</v>
      </c>
    </row>
    <row r="1919" spans="1:5" x14ac:dyDescent="0.2">
      <c r="A1919" t="s">
        <v>3028</v>
      </c>
      <c r="B1919" t="s">
        <v>108</v>
      </c>
      <c r="C1919" t="s">
        <v>22</v>
      </c>
      <c r="D1919" t="s">
        <v>8</v>
      </c>
      <c r="E1919" s="3" t="str">
        <f>HYPERLINK("http://www.otzar.org/book.asp?145925","קובץ חידושים וביאורים - 2 כר'")</f>
        <v>קובץ חידושים וביאורים - 2 כר'</v>
      </c>
    </row>
    <row r="1920" spans="1:5" x14ac:dyDescent="0.2">
      <c r="A1920" t="s">
        <v>3029</v>
      </c>
      <c r="B1920" t="s">
        <v>108</v>
      </c>
      <c r="C1920" t="s">
        <v>88</v>
      </c>
      <c r="D1920" t="s">
        <v>40</v>
      </c>
      <c r="E1920" s="3" t="str">
        <f>HYPERLINK("http://www.otzar.org/book.asp?169000","קובץ חידושים והערות - ישיבת תורת אמת")</f>
        <v>קובץ חידושים והערות - ישיבת תורת אמת</v>
      </c>
    </row>
    <row r="1921" spans="1:5" x14ac:dyDescent="0.2">
      <c r="A1921" t="s">
        <v>3030</v>
      </c>
      <c r="B1921" t="s">
        <v>207</v>
      </c>
      <c r="C1921" t="s">
        <v>477</v>
      </c>
      <c r="D1921" t="s">
        <v>8</v>
      </c>
      <c r="E1921" s="3" t="str">
        <f>HYPERLINK("http://www.otzar.org/book.asp?26903","קובץ י""א ניסן - 11 כר'")</f>
        <v>קובץ י"א ניסן - 11 כר'</v>
      </c>
    </row>
    <row r="1922" spans="1:5" x14ac:dyDescent="0.2">
      <c r="A1922" t="s">
        <v>3031</v>
      </c>
      <c r="B1922" t="s">
        <v>108</v>
      </c>
      <c r="C1922" t="s">
        <v>67</v>
      </c>
      <c r="D1922" t="s">
        <v>8</v>
      </c>
      <c r="E1922" s="3" t="str">
        <f>HYPERLINK("http://www.otzar.org/book.asp?141534","קובץ י""ג אייר - 2 כר'")</f>
        <v>קובץ י"ג אייר - 2 כר'</v>
      </c>
    </row>
    <row r="1923" spans="1:5" x14ac:dyDescent="0.2">
      <c r="A1923" t="s">
        <v>3032</v>
      </c>
      <c r="B1923" t="s">
        <v>3032</v>
      </c>
      <c r="C1923" t="s">
        <v>11</v>
      </c>
      <c r="D1923" t="s">
        <v>12</v>
      </c>
      <c r="E1923" s="3" t="str">
        <f>HYPERLINK("http://www.otzar.org/book.asp?161356","קובץ י""ד כסלו")</f>
        <v>קובץ י"ד כסלו</v>
      </c>
    </row>
    <row r="1924" spans="1:5" x14ac:dyDescent="0.2">
      <c r="A1924" t="s">
        <v>3033</v>
      </c>
      <c r="B1924" t="s">
        <v>108</v>
      </c>
      <c r="C1924" t="s">
        <v>191</v>
      </c>
      <c r="E1924" s="3" t="str">
        <f>HYPERLINK("http://www.otzar.org/book.asp?85197","קובץ יגיעה בתורה - 2 כר'")</f>
        <v>קובץ יגיעה בתורה - 2 כר'</v>
      </c>
    </row>
    <row r="1925" spans="1:5" x14ac:dyDescent="0.2">
      <c r="A1925" t="s">
        <v>3034</v>
      </c>
      <c r="B1925" t="s">
        <v>3035</v>
      </c>
      <c r="C1925" t="s">
        <v>31</v>
      </c>
      <c r="D1925" t="s">
        <v>19</v>
      </c>
      <c r="E1925" s="3" t="str">
        <f>HYPERLINK("http://www.otzar.org/book.asp?27508","קובץ יום ההילולא ג' תמוז")</f>
        <v>קובץ יום ההילולא ג' תמוז</v>
      </c>
    </row>
    <row r="1926" spans="1:5" x14ac:dyDescent="0.2">
      <c r="A1926" t="s">
        <v>3036</v>
      </c>
      <c r="B1926" t="s">
        <v>30</v>
      </c>
      <c r="C1926" t="s">
        <v>54</v>
      </c>
      <c r="D1926" t="s">
        <v>249</v>
      </c>
      <c r="E1926" s="3" t="str">
        <f>HYPERLINK("http://www.otzar.org/book.asp?608415","קובץ יום הולדת")</f>
        <v>קובץ יום הולדת</v>
      </c>
    </row>
    <row r="1927" spans="1:5" x14ac:dyDescent="0.2">
      <c r="A1927" t="s">
        <v>3037</v>
      </c>
      <c r="B1927" t="s">
        <v>30</v>
      </c>
      <c r="C1927" t="s">
        <v>31</v>
      </c>
      <c r="D1927" t="s">
        <v>8</v>
      </c>
      <c r="E1927" s="3" t="str">
        <f>HYPERLINK("http://www.otzar.org/book.asp?27528","קובץ כ""ב שבט - 2 כר'")</f>
        <v>קובץ כ"ב שבט - 2 כר'</v>
      </c>
    </row>
    <row r="1928" spans="1:5" x14ac:dyDescent="0.2">
      <c r="A1928" t="s">
        <v>3038</v>
      </c>
      <c r="B1928" t="s">
        <v>108</v>
      </c>
      <c r="C1928" t="s">
        <v>22</v>
      </c>
      <c r="D1928" t="s">
        <v>8</v>
      </c>
      <c r="E1928" s="3" t="str">
        <f>HYPERLINK("http://www.otzar.org/book.asp?156463","קובץ כ""ח סיון")</f>
        <v>קובץ כ"ח סיון</v>
      </c>
    </row>
    <row r="1929" spans="1:5" x14ac:dyDescent="0.2">
      <c r="A1929" t="s">
        <v>3039</v>
      </c>
      <c r="B1929" t="s">
        <v>3040</v>
      </c>
      <c r="C1929" t="s">
        <v>11</v>
      </c>
      <c r="D1929" t="s">
        <v>8</v>
      </c>
      <c r="E1929" s="3" t="str">
        <f>HYPERLINK("http://www.otzar.org/book.asp?164325","קובץ כ""ף מנחם אב - 2 כר'")</f>
        <v>קובץ כ"ף מנחם אב - 2 כר'</v>
      </c>
    </row>
    <row r="1930" spans="1:5" x14ac:dyDescent="0.2">
      <c r="A1930" t="s">
        <v>3041</v>
      </c>
      <c r="B1930" t="s">
        <v>108</v>
      </c>
      <c r="C1930" t="s">
        <v>60</v>
      </c>
      <c r="D1930" t="s">
        <v>2711</v>
      </c>
      <c r="E1930" s="3" t="str">
        <f>HYPERLINK("http://www.otzar.org/book.asp?145819","קובץ כבוד תורה")</f>
        <v>קובץ כבוד תורה</v>
      </c>
    </row>
    <row r="1931" spans="1:5" x14ac:dyDescent="0.2">
      <c r="A1931" t="s">
        <v>3042</v>
      </c>
      <c r="B1931" t="s">
        <v>3043</v>
      </c>
      <c r="C1931" t="s">
        <v>76</v>
      </c>
      <c r="D1931" t="s">
        <v>12</v>
      </c>
      <c r="E1931" s="3" t="str">
        <f>HYPERLINK("http://www.otzar.org/book.asp?614753","קובץ כינוסי השלוחים - 3 כר'")</f>
        <v>קובץ כינוסי השלוחים - 3 כר'</v>
      </c>
    </row>
    <row r="1932" spans="1:5" x14ac:dyDescent="0.2">
      <c r="A1932" t="s">
        <v>3044</v>
      </c>
      <c r="B1932" t="s">
        <v>207</v>
      </c>
      <c r="C1932" t="s">
        <v>327</v>
      </c>
      <c r="D1932" t="s">
        <v>3045</v>
      </c>
      <c r="E1932" s="3" t="str">
        <f>HYPERLINK("http://www.otzar.org/book.asp?146280","קובץ ל""ג בעומר")</f>
        <v>קובץ ל"ג בעומר</v>
      </c>
    </row>
    <row r="1933" spans="1:5" x14ac:dyDescent="0.2">
      <c r="A1933" t="s">
        <v>3046</v>
      </c>
      <c r="B1933" t="s">
        <v>108</v>
      </c>
      <c r="C1933" t="s">
        <v>39</v>
      </c>
      <c r="D1933" t="s">
        <v>116</v>
      </c>
      <c r="E1933" s="3" t="str">
        <f>HYPERLINK("http://www.otzar.org/book.asp?146176","קובץ להעלות נר תמיד - סד")</f>
        <v>קובץ להעלות נר תמיד - סד</v>
      </c>
    </row>
    <row r="1934" spans="1:5" x14ac:dyDescent="0.2">
      <c r="A1934" t="s">
        <v>3047</v>
      </c>
      <c r="B1934" t="s">
        <v>568</v>
      </c>
      <c r="C1934" t="s">
        <v>76</v>
      </c>
      <c r="D1934" t="s">
        <v>12</v>
      </c>
      <c r="E1934" s="3" t="str">
        <f>HYPERLINK("http://www.otzar.org/book.asp?28706","קובץ לחג השבועות")</f>
        <v>קובץ לחג השבועות</v>
      </c>
    </row>
    <row r="1935" spans="1:5" x14ac:dyDescent="0.2">
      <c r="A1935" t="s">
        <v>3048</v>
      </c>
      <c r="B1935" t="s">
        <v>108</v>
      </c>
      <c r="C1935" t="s">
        <v>34</v>
      </c>
      <c r="D1935" t="s">
        <v>8</v>
      </c>
      <c r="E1935" s="3" t="str">
        <f>HYPERLINK("http://www.otzar.org/book.asp?169094","קובץ לחיזוק ההתקשרות - 46 כר'")</f>
        <v>קובץ לחיזוק ההתקשרות - 46 כר'</v>
      </c>
    </row>
    <row r="1936" spans="1:5" x14ac:dyDescent="0.2">
      <c r="A1936" t="s">
        <v>3049</v>
      </c>
      <c r="B1936" t="s">
        <v>3050</v>
      </c>
      <c r="C1936" t="s">
        <v>73</v>
      </c>
      <c r="D1936" t="s">
        <v>8</v>
      </c>
      <c r="E1936" s="3" t="str">
        <f>HYPERLINK("http://www.otzar.org/book.asp?193151","קובץ ליובאוויטש - כל החלקים")</f>
        <v>קובץ ליובאוויטש - כל החלקים</v>
      </c>
    </row>
    <row r="1937" spans="1:5" x14ac:dyDescent="0.2">
      <c r="A1937" t="s">
        <v>3051</v>
      </c>
      <c r="B1937" t="s">
        <v>108</v>
      </c>
      <c r="C1937" t="s">
        <v>3052</v>
      </c>
      <c r="D1937" t="s">
        <v>8</v>
      </c>
      <c r="E1937" s="3" t="str">
        <f>HYPERLINK("http://www.otzar.org/book.asp?85368","קובץ ליובאוויטש - יד")</f>
        <v>קובץ ליובאוויטש - יד</v>
      </c>
    </row>
    <row r="1938" spans="1:5" x14ac:dyDescent="0.2">
      <c r="A1938" t="s">
        <v>3053</v>
      </c>
      <c r="B1938" t="s">
        <v>3054</v>
      </c>
      <c r="C1938" t="s">
        <v>350</v>
      </c>
      <c r="D1938" t="s">
        <v>19</v>
      </c>
      <c r="E1938" s="3" t="str">
        <f>HYPERLINK("http://www.otzar.org/book.asp?611996","קובץ לימוד ימים הסמוכים לכ מנחם אב")</f>
        <v>קובץ לימוד ימים הסמוכים לכ מנחם אב</v>
      </c>
    </row>
    <row r="1939" spans="1:5" x14ac:dyDescent="0.2">
      <c r="A1939" t="s">
        <v>3055</v>
      </c>
      <c r="B1939" t="s">
        <v>422</v>
      </c>
      <c r="C1939" t="s">
        <v>15</v>
      </c>
      <c r="D1939" t="s">
        <v>12</v>
      </c>
      <c r="E1939" s="3" t="str">
        <f>HYPERLINK("http://www.otzar.org/book.asp?607669","קובץ לימוד מתנה לרבי")</f>
        <v>קובץ לימוד מתנה לרבי</v>
      </c>
    </row>
    <row r="1940" spans="1:5" x14ac:dyDescent="0.2">
      <c r="A1940" t="s">
        <v>3056</v>
      </c>
      <c r="B1940" t="s">
        <v>664</v>
      </c>
      <c r="C1940" t="s">
        <v>142</v>
      </c>
      <c r="D1940" t="s">
        <v>12</v>
      </c>
      <c r="E1940" s="3" t="str">
        <f>HYPERLINK("http://www.otzar.org/book.asp?616772","קובץ לימוד - שבת הכנה לג' תמוז")</f>
        <v>קובץ לימוד - שבת הכנה לג' תמוז</v>
      </c>
    </row>
    <row r="1941" spans="1:5" x14ac:dyDescent="0.2">
      <c r="A1941" t="s">
        <v>3057</v>
      </c>
      <c r="B1941" t="s">
        <v>3058</v>
      </c>
      <c r="C1941" t="s">
        <v>142</v>
      </c>
      <c r="D1941" t="s">
        <v>19</v>
      </c>
      <c r="E1941" s="3" t="str">
        <f>HYPERLINK("http://www.otzar.org/book.asp?616800","קובץ לימוד - אייר-מנחם אב תשע""ח")</f>
        <v>קובץ לימוד - אייר-מנחם אב תשע"ח</v>
      </c>
    </row>
    <row r="1942" spans="1:5" x14ac:dyDescent="0.2">
      <c r="A1942" t="s">
        <v>3059</v>
      </c>
      <c r="B1942" t="s">
        <v>422</v>
      </c>
      <c r="C1942" t="s">
        <v>7</v>
      </c>
      <c r="D1942" t="s">
        <v>19</v>
      </c>
      <c r="E1942" s="3" t="str">
        <f>HYPERLINK("http://www.otzar.org/book.asp?621052","קובץ לימוד - 34 כר'")</f>
        <v>קובץ לימוד - 34 כר'</v>
      </c>
    </row>
    <row r="1943" spans="1:5" x14ac:dyDescent="0.2">
      <c r="A1943" t="s">
        <v>422</v>
      </c>
      <c r="B1943" t="s">
        <v>3060</v>
      </c>
      <c r="C1943" t="s">
        <v>7</v>
      </c>
      <c r="D1943" t="s">
        <v>19</v>
      </c>
      <c r="E1943" s="3" t="str">
        <f>HYPERLINK("http://www.otzar.org/book.asp?629549","קובץ לימוד")</f>
        <v>קובץ לימוד</v>
      </c>
    </row>
    <row r="1944" spans="1:5" x14ac:dyDescent="0.2">
      <c r="A1944" t="s">
        <v>3061</v>
      </c>
      <c r="B1944" t="s">
        <v>3062</v>
      </c>
      <c r="C1944" t="s">
        <v>712</v>
      </c>
      <c r="D1944" t="s">
        <v>3063</v>
      </c>
      <c r="E1944" s="3" t="str">
        <f>HYPERLINK("http://www.otzar.org/book.asp?141537","קובץ ליקוטי דינים - 2 כר'")</f>
        <v>קובץ ליקוטי דינים - 2 כר'</v>
      </c>
    </row>
    <row r="1945" spans="1:5" x14ac:dyDescent="0.2">
      <c r="A1945" t="s">
        <v>3064</v>
      </c>
      <c r="B1945" t="s">
        <v>108</v>
      </c>
      <c r="C1945" t="s">
        <v>111</v>
      </c>
      <c r="D1945" t="s">
        <v>101</v>
      </c>
      <c r="E1945" s="3" t="str">
        <f>HYPERLINK("http://www.otzar.org/book.asp?27602","קובץ לרגל יום הגדול יו""ד שבט")</f>
        <v>קובץ לרגל יום הגדול יו"ד שבט</v>
      </c>
    </row>
    <row r="1946" spans="1:5" x14ac:dyDescent="0.2">
      <c r="A1946" t="s">
        <v>3065</v>
      </c>
      <c r="B1946" t="s">
        <v>21</v>
      </c>
      <c r="C1946" t="s">
        <v>111</v>
      </c>
      <c r="D1946" t="s">
        <v>101</v>
      </c>
      <c r="E1946" s="3" t="str">
        <f>HYPERLINK("http://www.otzar.org/book.asp?27561","קובץ לרגל יום כ""ב שבט")</f>
        <v>קובץ לרגל יום כ"ב שבט</v>
      </c>
    </row>
    <row r="1947" spans="1:5" x14ac:dyDescent="0.2">
      <c r="A1947" t="s">
        <v>3066</v>
      </c>
      <c r="B1947" t="s">
        <v>30</v>
      </c>
      <c r="C1947" t="s">
        <v>52</v>
      </c>
      <c r="D1947" t="s">
        <v>8</v>
      </c>
      <c r="E1947" s="3" t="str">
        <f>HYPERLINK("http://www.otzar.org/book.asp?145653","קובץ מאה שנה")</f>
        <v>קובץ מאה שנה</v>
      </c>
    </row>
    <row r="1948" spans="1:5" x14ac:dyDescent="0.2">
      <c r="A1948" t="s">
        <v>3067</v>
      </c>
      <c r="B1948" t="s">
        <v>108</v>
      </c>
      <c r="C1948" t="s">
        <v>301</v>
      </c>
      <c r="D1948" t="s">
        <v>1507</v>
      </c>
      <c r="E1948" s="3" t="str">
        <f>HYPERLINK("http://www.otzar.org/book.asp?145512","קובץ מאור עינים")</f>
        <v>קובץ מאור עינים</v>
      </c>
    </row>
    <row r="1949" spans="1:5" x14ac:dyDescent="0.2">
      <c r="A1949" t="s">
        <v>3068</v>
      </c>
      <c r="B1949" t="s">
        <v>3069</v>
      </c>
      <c r="C1949" t="s">
        <v>327</v>
      </c>
      <c r="D1949" t="s">
        <v>166</v>
      </c>
      <c r="E1949" s="3" t="str">
        <f>HYPERLINK("http://www.otzar.org/book.asp?28008","קובץ מאמרים וסיפורים - 3 כר'")</f>
        <v>קובץ מאמרים וסיפורים - 3 כר'</v>
      </c>
    </row>
    <row r="1950" spans="1:5" x14ac:dyDescent="0.2">
      <c r="A1950" t="s">
        <v>745</v>
      </c>
      <c r="B1950" t="s">
        <v>3070</v>
      </c>
      <c r="C1950" t="s">
        <v>1326</v>
      </c>
      <c r="D1950" t="s">
        <v>26</v>
      </c>
      <c r="E1950" s="3" t="str">
        <f>HYPERLINK("http://www.otzar.org/book.asp?145654","קובץ מאמרים")</f>
        <v>קובץ מאמרים</v>
      </c>
    </row>
    <row r="1951" spans="1:5" x14ac:dyDescent="0.2">
      <c r="A1951" t="s">
        <v>3071</v>
      </c>
      <c r="B1951" t="s">
        <v>3072</v>
      </c>
      <c r="C1951" t="s">
        <v>54</v>
      </c>
      <c r="D1951" t="s">
        <v>8</v>
      </c>
      <c r="E1951" s="3" t="str">
        <f>HYPERLINK("http://www.otzar.org/book.asp?627062","קובץ מבצע תפילין")</f>
        <v>קובץ מבצע תפילין</v>
      </c>
    </row>
    <row r="1952" spans="1:5" x14ac:dyDescent="0.2">
      <c r="A1952" t="s">
        <v>3073</v>
      </c>
      <c r="B1952" t="s">
        <v>3074</v>
      </c>
      <c r="C1952" t="s">
        <v>82</v>
      </c>
      <c r="D1952" t="s">
        <v>3075</v>
      </c>
      <c r="E1952" s="3" t="str">
        <f>HYPERLINK("http://www.otzar.org/book.asp?608001","קובץ מגדל אור - ג' תמוז")</f>
        <v>קובץ מגדל אור - ג' תמוז</v>
      </c>
    </row>
    <row r="1953" spans="1:5" x14ac:dyDescent="0.2">
      <c r="A1953" t="s">
        <v>3076</v>
      </c>
      <c r="B1953" t="s">
        <v>108</v>
      </c>
      <c r="C1953" t="s">
        <v>327</v>
      </c>
      <c r="D1953" t="s">
        <v>332</v>
      </c>
      <c r="E1953" s="3" t="str">
        <f>HYPERLINK("http://www.otzar.org/book.asp?141410","קובץ מיוחד בעניני פסחים")</f>
        <v>קובץ מיוחד בעניני פסחים</v>
      </c>
    </row>
    <row r="1954" spans="1:5" x14ac:dyDescent="0.2">
      <c r="A1954" t="s">
        <v>3077</v>
      </c>
      <c r="B1954" t="s">
        <v>108</v>
      </c>
      <c r="C1954" t="s">
        <v>448</v>
      </c>
      <c r="D1954" t="s">
        <v>40</v>
      </c>
      <c r="E1954" s="3" t="str">
        <f>HYPERLINK("http://www.otzar.org/book.asp?141360","קובץ מיוחד לחידושי תורה וענייני הלכה")</f>
        <v>קובץ מיוחד לחידושי תורה וענייני הלכה</v>
      </c>
    </row>
    <row r="1955" spans="1:5" x14ac:dyDescent="0.2">
      <c r="A1955" t="s">
        <v>3078</v>
      </c>
      <c r="B1955" t="s">
        <v>3079</v>
      </c>
      <c r="C1955" t="s">
        <v>276</v>
      </c>
      <c r="D1955" t="s">
        <v>40</v>
      </c>
      <c r="E1955" s="3" t="str">
        <f>HYPERLINK("http://www.otzar.org/book.asp?145843","קובץ מכינה - 2 כר'")</f>
        <v>קובץ מכינה - 2 כר'</v>
      </c>
    </row>
    <row r="1956" spans="1:5" x14ac:dyDescent="0.2">
      <c r="A1956" t="s">
        <v>3080</v>
      </c>
      <c r="B1956" t="s">
        <v>3081</v>
      </c>
      <c r="C1956" t="s">
        <v>142</v>
      </c>
      <c r="D1956" t="s">
        <v>8</v>
      </c>
      <c r="E1956" s="3" t="str">
        <f>HYPERLINK("http://www.otzar.org/book.asp?613905","קובץ מכתבי ר' שמואל נאטיק")</f>
        <v>קובץ מכתבי ר' שמואל נאטיק</v>
      </c>
    </row>
    <row r="1957" spans="1:5" x14ac:dyDescent="0.2">
      <c r="A1957" t="s">
        <v>3082</v>
      </c>
      <c r="B1957" t="s">
        <v>3083</v>
      </c>
      <c r="C1957" t="s">
        <v>31</v>
      </c>
      <c r="D1957" t="s">
        <v>8</v>
      </c>
      <c r="E1957" s="3" t="str">
        <f>HYPERLINK("http://www.otzar.org/book.asp?146334","קובץ מנהגי חב""ד - בעניני הריון, לידה, ברית, פדיון הבן, ולידת בת")</f>
        <v>קובץ מנהגי חב"ד - בעניני הריון, לידה, ברית, פדיון הבן, ולידת בת</v>
      </c>
    </row>
    <row r="1958" spans="1:5" x14ac:dyDescent="0.2">
      <c r="A1958" t="s">
        <v>3084</v>
      </c>
      <c r="B1958" t="s">
        <v>108</v>
      </c>
      <c r="C1958" t="s">
        <v>60</v>
      </c>
      <c r="D1958" t="s">
        <v>816</v>
      </c>
      <c r="E1958" s="3" t="str">
        <f>HYPERLINK("http://www.otzar.org/book.asp?27521","קובץ מעדני מלך")</f>
        <v>קובץ מעדני מלך</v>
      </c>
    </row>
    <row r="1959" spans="1:5" x14ac:dyDescent="0.2">
      <c r="A1959" t="s">
        <v>3085</v>
      </c>
      <c r="B1959" t="s">
        <v>108</v>
      </c>
      <c r="C1959" t="s">
        <v>76</v>
      </c>
      <c r="D1959" t="s">
        <v>332</v>
      </c>
      <c r="E1959" s="3" t="str">
        <f>HYPERLINK("http://www.otzar.org/book.asp?157307","קובץ מעיני ישראל")</f>
        <v>קובץ מעיני ישראל</v>
      </c>
    </row>
    <row r="1960" spans="1:5" x14ac:dyDescent="0.2">
      <c r="A1960" t="s">
        <v>3086</v>
      </c>
      <c r="B1960" t="s">
        <v>108</v>
      </c>
      <c r="C1960" t="s">
        <v>183</v>
      </c>
      <c r="D1960" t="s">
        <v>382</v>
      </c>
      <c r="E1960" s="3" t="str">
        <f>HYPERLINK("http://www.otzar.org/book.asp?27164","קובץ מקדש מלך - ד")</f>
        <v>קובץ מקדש מלך - ד</v>
      </c>
    </row>
    <row r="1961" spans="1:5" x14ac:dyDescent="0.2">
      <c r="A1961" t="s">
        <v>3087</v>
      </c>
      <c r="B1961" t="s">
        <v>30</v>
      </c>
      <c r="C1961" t="s">
        <v>213</v>
      </c>
      <c r="D1961" t="s">
        <v>1002</v>
      </c>
      <c r="E1961" s="3" t="str">
        <f>HYPERLINK("http://www.otzar.org/book.asp?145519","קובץ מראי מקומות על הצעת תוכן שיחה - שנים אוחזין בטלית")</f>
        <v>קובץ מראי מקומות על הצעת תוכן שיחה - שנים אוחזין בטלית</v>
      </c>
    </row>
    <row r="1962" spans="1:5" x14ac:dyDescent="0.2">
      <c r="A1962" t="s">
        <v>3088</v>
      </c>
      <c r="B1962" t="s">
        <v>108</v>
      </c>
      <c r="C1962" t="s">
        <v>3089</v>
      </c>
      <c r="D1962" t="s">
        <v>8</v>
      </c>
      <c r="E1962" s="3" t="str">
        <f>HYPERLINK("http://www.otzar.org/book.asp?146554","קובץ משיח וגאולה - א-ז")</f>
        <v>קובץ משיח וגאולה - א-ז</v>
      </c>
    </row>
    <row r="1963" spans="1:5" x14ac:dyDescent="0.2">
      <c r="A1963" t="s">
        <v>3090</v>
      </c>
      <c r="B1963" t="s">
        <v>30</v>
      </c>
      <c r="C1963" t="s">
        <v>7</v>
      </c>
      <c r="D1963" t="s">
        <v>8</v>
      </c>
      <c r="E1963" s="3" t="str">
        <f>HYPERLINK("http://www.otzar.org/book.asp?621973","קובץ נישואי צדי""ק")</f>
        <v>קובץ נישואי צדי"ק</v>
      </c>
    </row>
    <row r="1964" spans="1:5" x14ac:dyDescent="0.2">
      <c r="A1964" t="s">
        <v>3091</v>
      </c>
      <c r="B1964" t="s">
        <v>230</v>
      </c>
      <c r="C1964" t="s">
        <v>18</v>
      </c>
      <c r="D1964" t="s">
        <v>19</v>
      </c>
      <c r="E1964" s="3" t="str">
        <f>HYPERLINK("http://www.otzar.org/book.asp?145804","קובץ נפש חיה למינה")</f>
        <v>קובץ נפש חיה למינה</v>
      </c>
    </row>
    <row r="1965" spans="1:5" x14ac:dyDescent="0.2">
      <c r="A1965" t="s">
        <v>3092</v>
      </c>
      <c r="B1965" t="s">
        <v>3093</v>
      </c>
      <c r="C1965" t="s">
        <v>155</v>
      </c>
      <c r="D1965" t="s">
        <v>3094</v>
      </c>
      <c r="E1965" s="3" t="str">
        <f>HYPERLINK("http://www.otzar.org/book.asp?145836","קובץ נר הדרום - ב")</f>
        <v>קובץ נר הדרום - ב</v>
      </c>
    </row>
    <row r="1966" spans="1:5" x14ac:dyDescent="0.2">
      <c r="A1966" t="s">
        <v>3095</v>
      </c>
      <c r="B1966" t="s">
        <v>108</v>
      </c>
      <c r="C1966" t="s">
        <v>82</v>
      </c>
      <c r="D1966" t="s">
        <v>8</v>
      </c>
      <c r="E1966" s="3" t="str">
        <f>HYPERLINK("http://www.otzar.org/book.asp?607778","קובץ נשיא הדור")</f>
        <v>קובץ נשיא הדור</v>
      </c>
    </row>
    <row r="1967" spans="1:5" x14ac:dyDescent="0.2">
      <c r="A1967" t="s">
        <v>3096</v>
      </c>
      <c r="B1967" t="s">
        <v>108</v>
      </c>
      <c r="C1967" t="s">
        <v>44</v>
      </c>
      <c r="D1967" t="s">
        <v>139</v>
      </c>
      <c r="E1967" s="3" t="str">
        <f>HYPERLINK("http://www.otzar.org/book.asp?614810","קובץ נשיאן של ישראל")</f>
        <v>קובץ נשיאן של ישראל</v>
      </c>
    </row>
    <row r="1968" spans="1:5" x14ac:dyDescent="0.2">
      <c r="A1968" t="s">
        <v>3097</v>
      </c>
      <c r="B1968" t="s">
        <v>30</v>
      </c>
      <c r="C1968" t="s">
        <v>155</v>
      </c>
      <c r="D1968" t="s">
        <v>8</v>
      </c>
      <c r="E1968" s="3" t="str">
        <f>HYPERLINK("http://www.otzar.org/book.asp?160815","קובץ סיפורים עם ביאורים והוראות בעבודת ה' - 3 כר'")</f>
        <v>קובץ סיפורים עם ביאורים והוראות בעבודת ה' - 3 כר'</v>
      </c>
    </row>
    <row r="1969" spans="1:5" x14ac:dyDescent="0.2">
      <c r="A1969" t="s">
        <v>3098</v>
      </c>
      <c r="B1969" t="s">
        <v>3098</v>
      </c>
      <c r="C1969" t="s">
        <v>276</v>
      </c>
      <c r="D1969" t="s">
        <v>3099</v>
      </c>
      <c r="E1969" s="3" t="str">
        <f>HYPERLINK("http://www.otzar.org/book.asp?27645","קובץ עטרה ליושנה")</f>
        <v>קובץ עטרה ליושנה</v>
      </c>
    </row>
    <row r="1970" spans="1:5" x14ac:dyDescent="0.2">
      <c r="A1970" t="s">
        <v>3100</v>
      </c>
      <c r="B1970" t="s">
        <v>3101</v>
      </c>
      <c r="C1970" t="s">
        <v>18</v>
      </c>
      <c r="D1970" t="s">
        <v>467</v>
      </c>
      <c r="E1970" s="3" t="str">
        <f>HYPERLINK("http://www.otzar.org/book.asp?145661","קובץ עיון תפלה - א")</f>
        <v>קובץ עיון תפלה - א</v>
      </c>
    </row>
    <row r="1971" spans="1:5" x14ac:dyDescent="0.2">
      <c r="A1971" t="s">
        <v>3102</v>
      </c>
      <c r="B1971" t="s">
        <v>108</v>
      </c>
      <c r="C1971" t="s">
        <v>122</v>
      </c>
      <c r="D1971" t="s">
        <v>2103</v>
      </c>
      <c r="E1971" s="3" t="str">
        <f>HYPERLINK("http://www.otzar.org/book.asp?27368","קובץ עיוני תורה - 8 כר'")</f>
        <v>קובץ עיוני תורה - 8 כר'</v>
      </c>
    </row>
    <row r="1972" spans="1:5" x14ac:dyDescent="0.2">
      <c r="A1972" t="s">
        <v>3103</v>
      </c>
      <c r="B1972" t="s">
        <v>3104</v>
      </c>
      <c r="C1972" t="s">
        <v>73</v>
      </c>
      <c r="D1972" t="s">
        <v>40</v>
      </c>
      <c r="E1972" s="3" t="str">
        <f>HYPERLINK("http://www.otzar.org/book.asp?622045","קובץ עיונים בתורת החסידות - 2 כר'")</f>
        <v>קובץ עיונים בתורת החסידות - 2 כר'</v>
      </c>
    </row>
    <row r="1973" spans="1:5" x14ac:dyDescent="0.2">
      <c r="A1973" t="s">
        <v>3105</v>
      </c>
      <c r="B1973" t="s">
        <v>108</v>
      </c>
      <c r="C1973" t="s">
        <v>276</v>
      </c>
      <c r="D1973" t="s">
        <v>12</v>
      </c>
      <c r="E1973" s="3" t="str">
        <f>HYPERLINK("http://www.otzar.org/book.asp?168999","קובץ עיונים וביאורים בתורת כ""ק אדמו""ר - 2 כר'")</f>
        <v>קובץ עיונים וביאורים בתורת כ"ק אדמו"ר - 2 כר'</v>
      </c>
    </row>
    <row r="1974" spans="1:5" x14ac:dyDescent="0.2">
      <c r="A1974" t="s">
        <v>3106</v>
      </c>
      <c r="B1974" t="s">
        <v>3107</v>
      </c>
      <c r="C1974" t="s">
        <v>34</v>
      </c>
      <c r="D1974" t="s">
        <v>80</v>
      </c>
      <c r="E1974" s="3" t="str">
        <f>HYPERLINK("http://www.otzar.org/book.asp?614923","קובץ עיונים וביאורים - ע")</f>
        <v>קובץ עיונים וביאורים - ע</v>
      </c>
    </row>
    <row r="1975" spans="1:5" x14ac:dyDescent="0.2">
      <c r="A1975" t="s">
        <v>3108</v>
      </c>
      <c r="B1975" t="s">
        <v>108</v>
      </c>
      <c r="C1975" t="s">
        <v>52</v>
      </c>
      <c r="D1975" t="s">
        <v>166</v>
      </c>
      <c r="E1975" s="3" t="str">
        <f>HYPERLINK("http://www.otzar.org/book.asp?140934","קובץ עיונים וביאורים - 2 כר'")</f>
        <v>קובץ עיונים וביאורים - 2 כר'</v>
      </c>
    </row>
    <row r="1976" spans="1:5" x14ac:dyDescent="0.2">
      <c r="A1976" t="s">
        <v>3109</v>
      </c>
      <c r="B1976" t="s">
        <v>108</v>
      </c>
      <c r="C1976" t="s">
        <v>82</v>
      </c>
      <c r="D1976" t="s">
        <v>8</v>
      </c>
      <c r="E1976" s="3" t="str">
        <f>HYPERLINK("http://www.otzar.org/book.asp?606114","קובץ עיונים תפארת שמשון - 4 כר'")</f>
        <v>קובץ עיונים תפארת שמשון - 4 כר'</v>
      </c>
    </row>
    <row r="1977" spans="1:5" x14ac:dyDescent="0.2">
      <c r="A1977" t="s">
        <v>3110</v>
      </c>
      <c r="B1977" t="s">
        <v>108</v>
      </c>
      <c r="C1977" t="s">
        <v>60</v>
      </c>
      <c r="D1977" t="s">
        <v>1006</v>
      </c>
      <c r="E1977" s="3" t="str">
        <f>HYPERLINK("http://www.otzar.org/book.asp?145807","קובץ עניני תורה")</f>
        <v>קובץ עניני תורה</v>
      </c>
    </row>
    <row r="1978" spans="1:5" x14ac:dyDescent="0.2">
      <c r="A1978" t="s">
        <v>3111</v>
      </c>
      <c r="B1978" t="s">
        <v>30</v>
      </c>
      <c r="C1978" t="s">
        <v>22</v>
      </c>
      <c r="D1978" t="s">
        <v>12</v>
      </c>
      <c r="E1978" s="3" t="str">
        <f>HYPERLINK("http://www.otzar.org/book.asp?141406","קובץ עצות והדרכות בעבודת ה' - 2 כר'")</f>
        <v>קובץ עצות והדרכות בעבודת ה' - 2 כר'</v>
      </c>
    </row>
    <row r="1979" spans="1:5" x14ac:dyDescent="0.2">
      <c r="A1979" t="s">
        <v>3112</v>
      </c>
      <c r="B1979" t="s">
        <v>108</v>
      </c>
      <c r="C1979" t="s">
        <v>65</v>
      </c>
      <c r="D1979" t="s">
        <v>1539</v>
      </c>
      <c r="E1979" s="3" t="str">
        <f>HYPERLINK("http://www.otzar.org/book.asp?27711","קובץ פאס-מרוקו - חידושי תורה על ספר הרמב""ם")</f>
        <v>קובץ פאס-מרוקו - חידושי תורה על ספר הרמב"ם</v>
      </c>
    </row>
    <row r="1980" spans="1:5" x14ac:dyDescent="0.2">
      <c r="A1980" t="s">
        <v>3113</v>
      </c>
      <c r="B1980" t="s">
        <v>108</v>
      </c>
      <c r="C1980" t="s">
        <v>122</v>
      </c>
      <c r="D1980" t="s">
        <v>3114</v>
      </c>
      <c r="E1980" s="3" t="str">
        <f>HYPERLINK("http://www.otzar.org/book.asp?27705","קובץ פז")</f>
        <v>קובץ פז</v>
      </c>
    </row>
    <row r="1981" spans="1:5" x14ac:dyDescent="0.2">
      <c r="A1981" t="s">
        <v>3115</v>
      </c>
      <c r="B1981" t="s">
        <v>30</v>
      </c>
      <c r="C1981" t="s">
        <v>155</v>
      </c>
      <c r="D1981" t="s">
        <v>19</v>
      </c>
      <c r="E1981" s="3" t="str">
        <f>HYPERLINK("http://www.otzar.org/book.asp?146505","קובץ פלאי שיח")</f>
        <v>קובץ פלאי שיח</v>
      </c>
    </row>
    <row r="1982" spans="1:5" x14ac:dyDescent="0.2">
      <c r="A1982" t="s">
        <v>3116</v>
      </c>
      <c r="B1982" t="s">
        <v>108</v>
      </c>
      <c r="C1982" t="s">
        <v>155</v>
      </c>
      <c r="D1982" t="s">
        <v>3117</v>
      </c>
      <c r="E1982" s="3" t="str">
        <f>HYPERLINK("http://www.otzar.org/book.asp?145810","קובץ פלפולי דאורייתא - א")</f>
        <v>קובץ פלפולי דאורייתא - א</v>
      </c>
    </row>
    <row r="1983" spans="1:5" x14ac:dyDescent="0.2">
      <c r="A1983" t="s">
        <v>3118</v>
      </c>
      <c r="B1983" t="s">
        <v>3119</v>
      </c>
      <c r="C1983" t="s">
        <v>305</v>
      </c>
      <c r="D1983" t="s">
        <v>8</v>
      </c>
      <c r="E1983" s="3" t="str">
        <f>HYPERLINK("http://www.otzar.org/book.asp?154676","קובץ פלפולים וביאורים בנגלה ובחסידות - 8 כר'")</f>
        <v>קובץ פלפולים וביאורים בנגלה ובחסידות - 8 כר'</v>
      </c>
    </row>
    <row r="1984" spans="1:5" x14ac:dyDescent="0.2">
      <c r="A1984" t="s">
        <v>3120</v>
      </c>
      <c r="B1984" t="s">
        <v>3121</v>
      </c>
      <c r="C1984" t="s">
        <v>60</v>
      </c>
      <c r="D1984" t="s">
        <v>1533</v>
      </c>
      <c r="E1984" s="3" t="str">
        <f>HYPERLINK("http://www.otzar.org/book.asp?145516","קובץ פלפולים וביאורים בנגלה ובחסידות - א")</f>
        <v>קובץ פלפולים וביאורים בנגלה ובחסידות - א</v>
      </c>
    </row>
    <row r="1985" spans="1:5" x14ac:dyDescent="0.2">
      <c r="A1985" t="s">
        <v>3120</v>
      </c>
      <c r="B1985" t="s">
        <v>3122</v>
      </c>
      <c r="C1985" t="s">
        <v>482</v>
      </c>
      <c r="D1985" t="s">
        <v>1228</v>
      </c>
      <c r="E1985" s="3" t="str">
        <f>HYPERLINK("http://www.otzar.org/book.asp?145426","קובץ פלפולים וביאורים בנגלה ובחסידות - א")</f>
        <v>קובץ פלפולים וביאורים בנגלה ובחסידות - א</v>
      </c>
    </row>
    <row r="1986" spans="1:5" x14ac:dyDescent="0.2">
      <c r="A1986" t="s">
        <v>3120</v>
      </c>
      <c r="B1986" t="s">
        <v>3123</v>
      </c>
      <c r="C1986" t="s">
        <v>301</v>
      </c>
      <c r="D1986" t="s">
        <v>408</v>
      </c>
      <c r="E1986" s="3" t="str">
        <f>HYPERLINK("http://www.otzar.org/book.asp?27339","קובץ פלפולים וביאורים בנגלה ובחסידות - א")</f>
        <v>קובץ פלפולים וביאורים בנגלה ובחסידות - א</v>
      </c>
    </row>
    <row r="1987" spans="1:5" x14ac:dyDescent="0.2">
      <c r="A1987" t="s">
        <v>3118</v>
      </c>
      <c r="B1987" t="s">
        <v>818</v>
      </c>
      <c r="C1987" t="s">
        <v>305</v>
      </c>
      <c r="D1987" t="s">
        <v>8</v>
      </c>
      <c r="E1987" s="3" t="str">
        <f>HYPERLINK("http://www.otzar.org/book.asp?145817","קובץ פלפולים וביאורים בנגלה ובחסידות - 8 כר'")</f>
        <v>קובץ פלפולים וביאורים בנגלה ובחסידות - 8 כר'</v>
      </c>
    </row>
    <row r="1988" spans="1:5" x14ac:dyDescent="0.2">
      <c r="A1988" t="s">
        <v>3124</v>
      </c>
      <c r="B1988" t="s">
        <v>3125</v>
      </c>
      <c r="C1988" t="s">
        <v>119</v>
      </c>
      <c r="D1988" t="s">
        <v>8</v>
      </c>
      <c r="E1988" s="3" t="str">
        <f>HYPERLINK("http://www.otzar.org/book.asp?161295","קובץ פלפולים וביאורים - ט")</f>
        <v>קובץ פלפולים וביאורים - ט</v>
      </c>
    </row>
    <row r="1989" spans="1:5" x14ac:dyDescent="0.2">
      <c r="A1989" t="s">
        <v>3126</v>
      </c>
      <c r="B1989" t="s">
        <v>3127</v>
      </c>
      <c r="C1989" t="s">
        <v>1756</v>
      </c>
      <c r="D1989" t="s">
        <v>3128</v>
      </c>
      <c r="E1989" s="3" t="str">
        <f>HYPERLINK("http://www.otzar.org/book.asp?27514","קובץ פלפולים וביאורים - 2 כר'")</f>
        <v>קובץ פלפולים וביאורים - 2 כר'</v>
      </c>
    </row>
    <row r="1990" spans="1:5" x14ac:dyDescent="0.2">
      <c r="A1990" t="s">
        <v>3129</v>
      </c>
      <c r="B1990" t="s">
        <v>108</v>
      </c>
      <c r="C1990" t="s">
        <v>60</v>
      </c>
      <c r="D1990" t="s">
        <v>3130</v>
      </c>
      <c r="E1990" s="3" t="str">
        <f>HYPERLINK("http://www.otzar.org/book.asp?27371","קובץ פלפולים וביאורים - א")</f>
        <v>קובץ פלפולים וביאורים - א</v>
      </c>
    </row>
    <row r="1991" spans="1:5" x14ac:dyDescent="0.2">
      <c r="A1991" t="s">
        <v>3131</v>
      </c>
      <c r="B1991" t="s">
        <v>3132</v>
      </c>
      <c r="C1991" t="s">
        <v>22</v>
      </c>
      <c r="D1991" t="s">
        <v>2103</v>
      </c>
      <c r="E1991" s="3" t="str">
        <f>HYPERLINK("http://www.otzar.org/book.asp?145919","קובץ פלפולים והערות - יא")</f>
        <v>קובץ פלפולים והערות - יא</v>
      </c>
    </row>
    <row r="1992" spans="1:5" x14ac:dyDescent="0.2">
      <c r="A1992" t="s">
        <v>3133</v>
      </c>
      <c r="B1992" t="s">
        <v>3134</v>
      </c>
      <c r="C1992" t="s">
        <v>152</v>
      </c>
      <c r="D1992" t="s">
        <v>101</v>
      </c>
      <c r="E1992" s="3" t="str">
        <f>HYPERLINK("http://www.otzar.org/book.asp?161302","קובץ פלפולים והערות - נ")</f>
        <v>קובץ פלפולים והערות - נ</v>
      </c>
    </row>
    <row r="1993" spans="1:5" x14ac:dyDescent="0.2">
      <c r="A1993" t="s">
        <v>3135</v>
      </c>
      <c r="B1993" t="s">
        <v>108</v>
      </c>
      <c r="C1993" t="s">
        <v>111</v>
      </c>
      <c r="D1993" t="s">
        <v>382</v>
      </c>
      <c r="E1993" s="3" t="str">
        <f>HYPERLINK("http://www.otzar.org/book.asp?27360","קובץ פלפולים מגדל דוד")</f>
        <v>קובץ פלפולים מגדל דוד</v>
      </c>
    </row>
    <row r="1994" spans="1:5" x14ac:dyDescent="0.2">
      <c r="A1994" t="s">
        <v>3136</v>
      </c>
      <c r="B1994" t="s">
        <v>108</v>
      </c>
      <c r="C1994" t="s">
        <v>73</v>
      </c>
      <c r="D1994" t="s">
        <v>1942</v>
      </c>
      <c r="E1994" s="3" t="str">
        <f>HYPERLINK("http://www.otzar.org/book.asp?183247","קובץ פניני האדרת והאמונה")</f>
        <v>קובץ פניני האדרת והאמונה</v>
      </c>
    </row>
    <row r="1995" spans="1:5" x14ac:dyDescent="0.2">
      <c r="A1995" t="s">
        <v>3137</v>
      </c>
      <c r="B1995" t="s">
        <v>30</v>
      </c>
      <c r="C1995" t="s">
        <v>22</v>
      </c>
      <c r="D1995" t="s">
        <v>12</v>
      </c>
      <c r="E1995" s="3" t="str">
        <f>HYPERLINK("http://www.otzar.org/book.asp?146218","קובץ פניני העשור - תש""מ-תש""נ")</f>
        <v>קובץ פניני העשור - תש"מ-תש"נ</v>
      </c>
    </row>
    <row r="1996" spans="1:5" x14ac:dyDescent="0.2">
      <c r="A1996" t="s">
        <v>3138</v>
      </c>
      <c r="B1996" t="s">
        <v>108</v>
      </c>
      <c r="C1996" t="s">
        <v>126</v>
      </c>
      <c r="D1996" t="s">
        <v>116</v>
      </c>
      <c r="E1996" s="3" t="str">
        <f>HYPERLINK("http://www.otzar.org/book.asp?145663","קובץ פרי בכורים - א")</f>
        <v>קובץ פרי בכורים - א</v>
      </c>
    </row>
    <row r="1997" spans="1:5" x14ac:dyDescent="0.2">
      <c r="A1997" t="s">
        <v>3139</v>
      </c>
      <c r="B1997" t="s">
        <v>3140</v>
      </c>
      <c r="C1997" t="s">
        <v>76</v>
      </c>
      <c r="D1997" t="s">
        <v>3141</v>
      </c>
      <c r="E1997" s="3" t="str">
        <f>HYPERLINK("http://www.otzar.org/book.asp?614746","קובץ צדיק לחיים")</f>
        <v>קובץ צדיק לחיים</v>
      </c>
    </row>
    <row r="1998" spans="1:5" x14ac:dyDescent="0.2">
      <c r="A1998" t="s">
        <v>3142</v>
      </c>
      <c r="B1998" t="s">
        <v>108</v>
      </c>
      <c r="C1998" t="s">
        <v>54</v>
      </c>
      <c r="D1998" t="s">
        <v>19</v>
      </c>
      <c r="E1998" s="3" t="str">
        <f>HYPERLINK("http://www.otzar.org/book.asp?169924","קובץ קנאת סופרים - ב")</f>
        <v>קובץ קנאת סופרים - ב</v>
      </c>
    </row>
    <row r="1999" spans="1:5" x14ac:dyDescent="0.2">
      <c r="A1999" t="s">
        <v>3143</v>
      </c>
      <c r="B1999" t="s">
        <v>3144</v>
      </c>
      <c r="C1999" t="s">
        <v>142</v>
      </c>
      <c r="D1999" t="s">
        <v>8</v>
      </c>
      <c r="E1999" s="3" t="str">
        <f>HYPERLINK("http://www.otzar.org/book.asp?613923","קובץ ר""ח כסלו")</f>
        <v>קובץ ר"ח כסלו</v>
      </c>
    </row>
    <row r="2000" spans="1:5" x14ac:dyDescent="0.2">
      <c r="A2000" t="s">
        <v>3145</v>
      </c>
      <c r="B2000" t="s">
        <v>3146</v>
      </c>
      <c r="C2000" t="s">
        <v>161</v>
      </c>
      <c r="D2000" t="s">
        <v>8</v>
      </c>
      <c r="E2000" s="3" t="str">
        <f>HYPERLINK("http://www.otzar.org/book.asp?141458","קובץ רשימות שיעורים - קידושין")</f>
        <v>קובץ רשימות שיעורים - קידושין</v>
      </c>
    </row>
    <row r="2001" spans="1:5" x14ac:dyDescent="0.2">
      <c r="A2001" t="s">
        <v>3147</v>
      </c>
      <c r="B2001" t="s">
        <v>108</v>
      </c>
      <c r="C2001" t="s">
        <v>65</v>
      </c>
      <c r="D2001" t="s">
        <v>12</v>
      </c>
      <c r="E2001" s="3" t="str">
        <f>HYPERLINK("http://www.otzar.org/book.asp?27288","קובץ שי למורא")</f>
        <v>קובץ שי למורא</v>
      </c>
    </row>
    <row r="2002" spans="1:5" x14ac:dyDescent="0.2">
      <c r="A2002" t="s">
        <v>3148</v>
      </c>
      <c r="B2002" t="s">
        <v>3149</v>
      </c>
      <c r="C2002" t="s">
        <v>18</v>
      </c>
      <c r="D2002" t="s">
        <v>12</v>
      </c>
      <c r="E2002" s="3" t="str">
        <f>HYPERLINK("http://www.otzar.org/book.asp?141585","קובץ שיחות והוראות אודות הקמת בית אגודת חסידי חב""ד")</f>
        <v>קובץ שיחות והוראות אודות הקמת בית אגודת חסידי חב"ד</v>
      </c>
    </row>
    <row r="2003" spans="1:5" x14ac:dyDescent="0.2">
      <c r="A2003" t="s">
        <v>3150</v>
      </c>
      <c r="B2003" t="s">
        <v>3151</v>
      </c>
      <c r="C2003" t="s">
        <v>11</v>
      </c>
      <c r="D2003" t="s">
        <v>8</v>
      </c>
      <c r="E2003" s="3" t="str">
        <f>HYPERLINK("http://www.otzar.org/book.asp?162748","קובץ שיעורים בענייני משיח וגאולה")</f>
        <v>קובץ שיעורים בענייני משיח וגאולה</v>
      </c>
    </row>
    <row r="2004" spans="1:5" x14ac:dyDescent="0.2">
      <c r="A2004" t="s">
        <v>3152</v>
      </c>
      <c r="B2004" t="s">
        <v>108</v>
      </c>
      <c r="C2004" t="s">
        <v>60</v>
      </c>
      <c r="D2004" t="s">
        <v>8</v>
      </c>
      <c r="E2004" s="3" t="str">
        <f>HYPERLINK("http://www.otzar.org/book.asp?145820","קובץ שמועה טובה")</f>
        <v>קובץ שמועה טובה</v>
      </c>
    </row>
    <row r="2005" spans="1:5" x14ac:dyDescent="0.2">
      <c r="A2005" t="s">
        <v>3153</v>
      </c>
      <c r="B2005" t="s">
        <v>108</v>
      </c>
      <c r="C2005" t="s">
        <v>65</v>
      </c>
      <c r="D2005" t="s">
        <v>3130</v>
      </c>
      <c r="E2005" s="3" t="str">
        <f>HYPERLINK("http://www.otzar.org/book.asp?27286","קובץ שער רומי")</f>
        <v>קובץ שער רומי</v>
      </c>
    </row>
    <row r="2006" spans="1:5" x14ac:dyDescent="0.2">
      <c r="A2006" t="s">
        <v>3154</v>
      </c>
      <c r="B2006" t="s">
        <v>108</v>
      </c>
      <c r="C2006" t="s">
        <v>111</v>
      </c>
      <c r="D2006" t="s">
        <v>2941</v>
      </c>
      <c r="E2006" s="3" t="str">
        <f>HYPERLINK("http://www.otzar.org/book.asp?146186","קובץ שערי מנחם - 4 כר'")</f>
        <v>קובץ שערי מנחם - 4 כר'</v>
      </c>
    </row>
    <row r="2007" spans="1:5" x14ac:dyDescent="0.2">
      <c r="A2007" t="s">
        <v>3155</v>
      </c>
      <c r="B2007" t="s">
        <v>108</v>
      </c>
      <c r="C2007" t="s">
        <v>126</v>
      </c>
      <c r="D2007" t="s">
        <v>2308</v>
      </c>
      <c r="E2007" s="3" t="str">
        <f>HYPERLINK("http://www.otzar.org/book.asp?145808","קובץ שערי תורה - ג")</f>
        <v>קובץ שערי תורה - ג</v>
      </c>
    </row>
    <row r="2008" spans="1:5" x14ac:dyDescent="0.2">
      <c r="A2008" t="s">
        <v>3156</v>
      </c>
      <c r="B2008" t="s">
        <v>3157</v>
      </c>
      <c r="E2008" s="3" t="str">
        <f>HYPERLINK("http://www.otzar.org/book.asp?627065","קובץ תוכן השיחות היומיות")</f>
        <v>קובץ תוכן השיחות היומיות</v>
      </c>
    </row>
    <row r="2009" spans="1:5" x14ac:dyDescent="0.2">
      <c r="A2009" t="s">
        <v>3158</v>
      </c>
      <c r="B2009" t="s">
        <v>108</v>
      </c>
      <c r="C2009" t="s">
        <v>67</v>
      </c>
      <c r="D2009" t="s">
        <v>3159</v>
      </c>
      <c r="E2009" s="3" t="str">
        <f>HYPERLINK("http://www.otzar.org/book.asp?146144","קובץ תורת אשכנז - א")</f>
        <v>קובץ תורת אשכנז - א</v>
      </c>
    </row>
    <row r="2010" spans="1:5" x14ac:dyDescent="0.2">
      <c r="A2010" t="s">
        <v>3160</v>
      </c>
      <c r="B2010" t="s">
        <v>368</v>
      </c>
      <c r="C2010" t="s">
        <v>111</v>
      </c>
      <c r="D2010" t="s">
        <v>12</v>
      </c>
      <c r="E2010" s="3" t="str">
        <f>HYPERLINK("http://www.otzar.org/book.asp?27548","קובץ תקנון את""ה")</f>
        <v>קובץ תקנון את"ה</v>
      </c>
    </row>
    <row r="2011" spans="1:5" x14ac:dyDescent="0.2">
      <c r="A2011" t="s">
        <v>3161</v>
      </c>
      <c r="B2011" t="s">
        <v>30</v>
      </c>
      <c r="C2011" t="s">
        <v>119</v>
      </c>
      <c r="D2011" t="s">
        <v>40</v>
      </c>
      <c r="E2011" s="3" t="str">
        <f>HYPERLINK("http://www.otzar.org/book.asp?26497","קובץ תשובות בעניני שמחה ובטחון בה'")</f>
        <v>קובץ תשובות בעניני שמחה ובטחון בה'</v>
      </c>
    </row>
    <row r="2012" spans="1:5" x14ac:dyDescent="0.2">
      <c r="A2012" t="s">
        <v>3162</v>
      </c>
      <c r="B2012" t="s">
        <v>30</v>
      </c>
      <c r="C2012" t="s">
        <v>76</v>
      </c>
      <c r="D2012" t="s">
        <v>105</v>
      </c>
      <c r="E2012" s="3" t="str">
        <f>HYPERLINK("http://www.otzar.org/book.asp?627248","קובץ תשובות ומענות בקשר ללימוד בכולל")</f>
        <v>קובץ תשובות ומענות בקשר ללימוד בכולל</v>
      </c>
    </row>
    <row r="2013" spans="1:5" x14ac:dyDescent="0.2">
      <c r="A2013" t="s">
        <v>3163</v>
      </c>
      <c r="B2013" t="s">
        <v>3164</v>
      </c>
      <c r="C2013" t="s">
        <v>31</v>
      </c>
      <c r="D2013" t="s">
        <v>264</v>
      </c>
      <c r="E2013" s="3" t="str">
        <f>HYPERLINK("http://www.otzar.org/book.asp?141619","קונטרס אביסל יידישקייט - יהדות על קצה המזלג")</f>
        <v>קונטרס אביסל יידישקייט - יהדות על קצה המזלג</v>
      </c>
    </row>
    <row r="2014" spans="1:5" x14ac:dyDescent="0.2">
      <c r="A2014" t="s">
        <v>3165</v>
      </c>
      <c r="B2014" t="s">
        <v>517</v>
      </c>
      <c r="C2014" t="s">
        <v>34</v>
      </c>
      <c r="D2014" t="s">
        <v>529</v>
      </c>
      <c r="E2014" s="3" t="str">
        <f>HYPERLINK("http://www.otzar.org/book.asp?199156","קונטרס אגרות תפלה")</f>
        <v>קונטרס אגרות תפלה</v>
      </c>
    </row>
    <row r="2015" spans="1:5" x14ac:dyDescent="0.2">
      <c r="A2015" t="s">
        <v>3166</v>
      </c>
      <c r="B2015" t="s">
        <v>3167</v>
      </c>
      <c r="C2015" t="s">
        <v>448</v>
      </c>
      <c r="D2015" t="s">
        <v>8</v>
      </c>
      <c r="E2015" s="3" t="str">
        <f>HYPERLINK("http://www.otzar.org/book.asp?27580","קונטרס אהבת ישראל - 2 כר'")</f>
        <v>קונטרס אהבת ישראל - 2 כר'</v>
      </c>
    </row>
    <row r="2016" spans="1:5" x14ac:dyDescent="0.2">
      <c r="A2016" t="s">
        <v>3168</v>
      </c>
      <c r="B2016" t="s">
        <v>3169</v>
      </c>
      <c r="C2016" t="s">
        <v>165</v>
      </c>
      <c r="D2016" t="s">
        <v>375</v>
      </c>
      <c r="E2016" s="3" t="str">
        <f>HYPERLINK("http://www.otzar.org/book.asp?616773","קונטרס אור המאיר - הדף")</f>
        <v>קונטרס אור המאיר - הדף</v>
      </c>
    </row>
    <row r="2017" spans="1:5" x14ac:dyDescent="0.2">
      <c r="A2017" t="s">
        <v>3170</v>
      </c>
      <c r="B2017" t="s">
        <v>664</v>
      </c>
      <c r="C2017" t="s">
        <v>142</v>
      </c>
      <c r="D2017" t="s">
        <v>8</v>
      </c>
      <c r="E2017" s="3" t="str">
        <f>HYPERLINK("http://www.otzar.org/book.asp?611995","קונטרס אור נפלא אור חדש")</f>
        <v>קונטרס אור נפלא אור חדש</v>
      </c>
    </row>
    <row r="2018" spans="1:5" x14ac:dyDescent="0.2">
      <c r="A2018" t="s">
        <v>3171</v>
      </c>
      <c r="B2018" t="s">
        <v>3172</v>
      </c>
      <c r="C2018" t="s">
        <v>129</v>
      </c>
      <c r="D2018" t="s">
        <v>40</v>
      </c>
      <c r="E2018" s="3" t="str">
        <f>HYPERLINK("http://www.otzar.org/book.asp?146503","קונטרס אור תורה תמימה")</f>
        <v>קונטרס אור תורה תמימה</v>
      </c>
    </row>
    <row r="2019" spans="1:5" x14ac:dyDescent="0.2">
      <c r="A2019" t="s">
        <v>3173</v>
      </c>
      <c r="B2019" t="s">
        <v>30</v>
      </c>
      <c r="C2019" t="s">
        <v>34</v>
      </c>
      <c r="D2019" t="s">
        <v>12</v>
      </c>
      <c r="E2019" s="3" t="str">
        <f>HYPERLINK("http://www.otzar.org/book.asp?161346","קונטרס אורה זו תורה")</f>
        <v>קונטרס אורה זו תורה</v>
      </c>
    </row>
    <row r="2020" spans="1:5" x14ac:dyDescent="0.2">
      <c r="A2020" t="s">
        <v>3174</v>
      </c>
      <c r="B2020" t="s">
        <v>704</v>
      </c>
      <c r="C2020" t="s">
        <v>11</v>
      </c>
      <c r="D2020" t="s">
        <v>556</v>
      </c>
      <c r="E2020" s="3" t="str">
        <f>HYPERLINK("http://www.otzar.org/book.asp?164335","קונטרס אחרים אומרים")</f>
        <v>קונטרס אחרים אומרים</v>
      </c>
    </row>
    <row r="2021" spans="1:5" x14ac:dyDescent="0.2">
      <c r="A2021" t="s">
        <v>3175</v>
      </c>
      <c r="B2021" t="s">
        <v>3176</v>
      </c>
      <c r="C2021" t="s">
        <v>76</v>
      </c>
      <c r="D2021" t="s">
        <v>19</v>
      </c>
      <c r="E2021" s="3" t="str">
        <f>HYPERLINK("http://www.otzar.org/book.asp?146323","קונטרס אין מעמידין פרנס אא""כ נמלכין בציבור")</f>
        <v>קונטרס אין מעמידין פרנס אא"כ נמלכין בציבור</v>
      </c>
    </row>
    <row r="2022" spans="1:5" x14ac:dyDescent="0.2">
      <c r="A2022" t="s">
        <v>3177</v>
      </c>
      <c r="B2022" t="s">
        <v>303</v>
      </c>
      <c r="C2022" t="s">
        <v>82</v>
      </c>
      <c r="D2022" t="s">
        <v>12</v>
      </c>
      <c r="E2022" s="3" t="str">
        <f>HYPERLINK("http://www.otzar.org/book.asp?607926","קונטרס איסור הלבנת פנים")</f>
        <v>קונטרס איסור הלבנת פנים</v>
      </c>
    </row>
    <row r="2023" spans="1:5" x14ac:dyDescent="0.2">
      <c r="A2023" t="s">
        <v>3178</v>
      </c>
      <c r="B2023" t="s">
        <v>3179</v>
      </c>
      <c r="C2023" t="s">
        <v>183</v>
      </c>
      <c r="D2023" t="s">
        <v>12</v>
      </c>
      <c r="E2023" s="3" t="str">
        <f>HYPERLINK("http://www.otzar.org/book.asp?146325","קונטרס אמרות קודש על המגיד ממעזריטש")</f>
        <v>קונטרס אמרות קודש על המגיד ממעזריטש</v>
      </c>
    </row>
    <row r="2024" spans="1:5" x14ac:dyDescent="0.2">
      <c r="A2024" t="s">
        <v>3180</v>
      </c>
      <c r="B2024" t="s">
        <v>3181</v>
      </c>
      <c r="C2024" t="s">
        <v>31</v>
      </c>
      <c r="D2024" t="s">
        <v>8</v>
      </c>
      <c r="E2024" s="3" t="str">
        <f>HYPERLINK("http://www.otzar.org/book.asp?146510","קונטרס אני מאמין")</f>
        <v>קונטרס אני מאמין</v>
      </c>
    </row>
    <row r="2025" spans="1:5" x14ac:dyDescent="0.2">
      <c r="A2025" t="s">
        <v>3182</v>
      </c>
      <c r="B2025" t="s">
        <v>3183</v>
      </c>
      <c r="C2025" t="s">
        <v>82</v>
      </c>
      <c r="D2025" t="s">
        <v>208</v>
      </c>
      <c r="E2025" s="3" t="str">
        <f>HYPERLINK("http://www.otzar.org/book.asp?607919","קונטרס ביאור והגהות למאמר ויאכילך את המן")</f>
        <v>קונטרס ביאור והגהות למאמר ויאכילך את המן</v>
      </c>
    </row>
    <row r="2026" spans="1:5" x14ac:dyDescent="0.2">
      <c r="A2026" t="s">
        <v>3184</v>
      </c>
      <c r="B2026" t="s">
        <v>3185</v>
      </c>
      <c r="C2026" t="s">
        <v>76</v>
      </c>
      <c r="D2026" t="s">
        <v>19</v>
      </c>
      <c r="E2026" s="3" t="str">
        <f>HYPERLINK("http://www.otzar.org/book.asp?614930","קונטרס ביאור מנהג אנ""ש בעניין נשיאת כפים באה""ק")</f>
        <v>קונטרס ביאור מנהג אנ"ש בעניין נשיאת כפים באה"ק</v>
      </c>
    </row>
    <row r="2027" spans="1:5" x14ac:dyDescent="0.2">
      <c r="A2027" t="s">
        <v>3186</v>
      </c>
      <c r="B2027" t="s">
        <v>33</v>
      </c>
      <c r="C2027" t="s">
        <v>11</v>
      </c>
      <c r="D2027" t="s">
        <v>40</v>
      </c>
      <c r="E2027" s="3" t="str">
        <f>HYPERLINK("http://www.otzar.org/book.asp?164321","קונטרס בירורי הלכות")</f>
        <v>קונטרס בירורי הלכות</v>
      </c>
    </row>
    <row r="2028" spans="1:5" x14ac:dyDescent="0.2">
      <c r="A2028" t="s">
        <v>3187</v>
      </c>
      <c r="B2028" t="s">
        <v>3188</v>
      </c>
      <c r="C2028" t="s">
        <v>54</v>
      </c>
      <c r="D2028" t="s">
        <v>139</v>
      </c>
      <c r="E2028" s="3" t="str">
        <f>HYPERLINK("http://www.otzar.org/book.asp?167740","קונטרס בל תשחית")</f>
        <v>קונטרס בל תשחית</v>
      </c>
    </row>
    <row r="2029" spans="1:5" x14ac:dyDescent="0.2">
      <c r="A2029" t="s">
        <v>3189</v>
      </c>
      <c r="B2029" t="s">
        <v>2091</v>
      </c>
      <c r="C2029" t="s">
        <v>31</v>
      </c>
      <c r="D2029" t="s">
        <v>1002</v>
      </c>
      <c r="E2029" s="3" t="str">
        <f>HYPERLINK("http://www.otzar.org/book.asp?145943","קונטרס בענין מידת הבטחון")</f>
        <v>קונטרס בענין מידת הבטחון</v>
      </c>
    </row>
    <row r="2030" spans="1:5" x14ac:dyDescent="0.2">
      <c r="A2030" t="s">
        <v>3190</v>
      </c>
      <c r="B2030" t="s">
        <v>75</v>
      </c>
      <c r="C2030" t="s">
        <v>76</v>
      </c>
      <c r="D2030" t="s">
        <v>19</v>
      </c>
      <c r="E2030" s="3" t="str">
        <f>HYPERLINK("http://www.otzar.org/book.asp?146203","קונטרס בענין ראש השנה ויום הכיפורים")</f>
        <v>קונטרס בענין ראש השנה ויום הכיפורים</v>
      </c>
    </row>
    <row r="2031" spans="1:5" x14ac:dyDescent="0.2">
      <c r="A2031" t="s">
        <v>3191</v>
      </c>
      <c r="B2031" t="s">
        <v>38</v>
      </c>
      <c r="C2031" t="s">
        <v>18</v>
      </c>
      <c r="D2031" t="s">
        <v>8</v>
      </c>
      <c r="E2031" s="3" t="str">
        <f>HYPERLINK("http://www.otzar.org/book.asp?26467","קונטרס בר מצוה תרנ""ג")</f>
        <v>קונטרס בר מצוה תרנ"ג</v>
      </c>
    </row>
    <row r="2032" spans="1:5" x14ac:dyDescent="0.2">
      <c r="A2032" t="s">
        <v>3192</v>
      </c>
      <c r="B2032" t="s">
        <v>30</v>
      </c>
      <c r="C2032" t="s">
        <v>142</v>
      </c>
      <c r="D2032" t="s">
        <v>19</v>
      </c>
      <c r="E2032" s="3" t="str">
        <f>HYPERLINK("http://www.otzar.org/book.asp?611709","קונטרס גזע קודש מחצבתם")</f>
        <v>קונטרס גזע קודש מחצבתם</v>
      </c>
    </row>
    <row r="2033" spans="1:5" x14ac:dyDescent="0.2">
      <c r="A2033" t="s">
        <v>3193</v>
      </c>
      <c r="B2033" t="s">
        <v>3194</v>
      </c>
      <c r="C2033" t="s">
        <v>11</v>
      </c>
      <c r="D2033" t="s">
        <v>1179</v>
      </c>
      <c r="E2033" s="3" t="str">
        <f>HYPERLINK("http://www.otzar.org/book.asp?608410","קונטרס דברי הרש""ג")</f>
        <v>קונטרס דברי הרש"ג</v>
      </c>
    </row>
    <row r="2034" spans="1:5" x14ac:dyDescent="0.2">
      <c r="A2034" t="s">
        <v>3195</v>
      </c>
      <c r="B2034" t="s">
        <v>38</v>
      </c>
      <c r="C2034" t="s">
        <v>148</v>
      </c>
      <c r="D2034" t="s">
        <v>8</v>
      </c>
      <c r="E2034" s="3" t="str">
        <f>HYPERLINK("http://www.otzar.org/book.asp?27529","קונטרס דברי ימי החוזרים")</f>
        <v>קונטרס דברי ימי החוזרים</v>
      </c>
    </row>
    <row r="2035" spans="1:5" x14ac:dyDescent="0.2">
      <c r="A2035" t="s">
        <v>3196</v>
      </c>
      <c r="B2035" t="s">
        <v>108</v>
      </c>
      <c r="C2035" t="s">
        <v>115</v>
      </c>
      <c r="D2035" t="s">
        <v>1511</v>
      </c>
      <c r="E2035" s="3" t="str">
        <f>HYPERLINK("http://www.otzar.org/book.asp?145521","קונטרס דברי תורה - 8 כר'")</f>
        <v>קונטרס דברי תורה - 8 כר'</v>
      </c>
    </row>
    <row r="2036" spans="1:5" x14ac:dyDescent="0.2">
      <c r="A2036" t="s">
        <v>3197</v>
      </c>
      <c r="B2036" t="s">
        <v>3198</v>
      </c>
      <c r="C2036" t="s">
        <v>76</v>
      </c>
      <c r="D2036" t="s">
        <v>19</v>
      </c>
      <c r="E2036" s="3" t="str">
        <f>HYPERLINK("http://www.otzar.org/book.asp?146342","קונטרס דיני ומנהגי ערב פסח שחל בשבת")</f>
        <v>קונטרס דיני ומנהגי ערב פסח שחל בשבת</v>
      </c>
    </row>
    <row r="2037" spans="1:5" x14ac:dyDescent="0.2">
      <c r="A2037" t="s">
        <v>3199</v>
      </c>
      <c r="B2037" t="s">
        <v>207</v>
      </c>
      <c r="C2037" t="s">
        <v>276</v>
      </c>
      <c r="D2037" t="s">
        <v>8</v>
      </c>
      <c r="E2037" s="3" t="str">
        <f>HYPERLINK("http://www.otzar.org/book.asp?140931","קונטרס דרך הישרה")</f>
        <v>קונטרס דרך הישרה</v>
      </c>
    </row>
    <row r="2038" spans="1:5" x14ac:dyDescent="0.2">
      <c r="A2038" t="s">
        <v>3200</v>
      </c>
      <c r="B2038" t="s">
        <v>30</v>
      </c>
      <c r="C2038" t="s">
        <v>183</v>
      </c>
      <c r="D2038" t="s">
        <v>19</v>
      </c>
      <c r="E2038" s="3" t="str">
        <f>HYPERLINK("http://www.otzar.org/book.asp?146418","קונטרס דרך חירות")</f>
        <v>קונטרס דרך חירות</v>
      </c>
    </row>
    <row r="2039" spans="1:5" x14ac:dyDescent="0.2">
      <c r="A2039" t="s">
        <v>3201</v>
      </c>
      <c r="B2039" t="s">
        <v>3202</v>
      </c>
      <c r="C2039" t="s">
        <v>34</v>
      </c>
      <c r="D2039" t="s">
        <v>12</v>
      </c>
      <c r="E2039" s="3" t="str">
        <f>HYPERLINK("http://www.otzar.org/book.asp?607944","קונטרס ההשגחה האלקית בעולם")</f>
        <v>קונטרס ההשגחה האלקית בעולם</v>
      </c>
    </row>
    <row r="2040" spans="1:5" x14ac:dyDescent="0.2">
      <c r="A2040" t="s">
        <v>3203</v>
      </c>
      <c r="B2040" t="s">
        <v>43</v>
      </c>
      <c r="C2040" t="s">
        <v>76</v>
      </c>
      <c r="D2040" t="s">
        <v>19</v>
      </c>
      <c r="E2040" s="3" t="str">
        <f>HYPERLINK("http://www.otzar.org/book.asp?146369","קונטרס ההשתטחות")</f>
        <v>קונטרס ההשתטחות</v>
      </c>
    </row>
    <row r="2041" spans="1:5" x14ac:dyDescent="0.2">
      <c r="A2041" t="s">
        <v>3204</v>
      </c>
      <c r="B2041" t="s">
        <v>30</v>
      </c>
      <c r="C2041" t="s">
        <v>122</v>
      </c>
      <c r="D2041" t="s">
        <v>8</v>
      </c>
      <c r="E2041" s="3" t="str">
        <f>HYPERLINK("http://www.otzar.org/book.asp?145948","קונטרס הוראות בפועל")</f>
        <v>קונטרס הוראות בפועל</v>
      </c>
    </row>
    <row r="2042" spans="1:5" x14ac:dyDescent="0.2">
      <c r="A2042" t="s">
        <v>3205</v>
      </c>
      <c r="B2042" t="s">
        <v>105</v>
      </c>
      <c r="C2042" t="s">
        <v>276</v>
      </c>
      <c r="D2042" t="s">
        <v>19</v>
      </c>
      <c r="E2042" s="3" t="str">
        <f>HYPERLINK("http://www.otzar.org/book.asp?146411","קונטרס החיוב ללמוד תורת החסידות")</f>
        <v>קונטרס החיוב ללמוד תורת החסידות</v>
      </c>
    </row>
    <row r="2043" spans="1:5" x14ac:dyDescent="0.2">
      <c r="A2043" t="s">
        <v>3206</v>
      </c>
      <c r="B2043" t="s">
        <v>3207</v>
      </c>
      <c r="C2043" t="s">
        <v>111</v>
      </c>
      <c r="D2043" t="s">
        <v>788</v>
      </c>
      <c r="E2043" s="3" t="str">
        <f>HYPERLINK("http://www.otzar.org/book.asp?146361","קונטרס החלצו")</f>
        <v>קונטרס החלצו</v>
      </c>
    </row>
    <row r="2044" spans="1:5" x14ac:dyDescent="0.2">
      <c r="A2044" t="s">
        <v>3208</v>
      </c>
      <c r="B2044" t="s">
        <v>3208</v>
      </c>
      <c r="C2044" t="s">
        <v>155</v>
      </c>
      <c r="D2044" t="s">
        <v>2914</v>
      </c>
      <c r="E2044" s="3" t="str">
        <f>HYPERLINK("http://www.otzar.org/book.asp?27557","קונטרס הליכות מבצעים")</f>
        <v>קונטרס הליכות מבצעים</v>
      </c>
    </row>
    <row r="2045" spans="1:5" x14ac:dyDescent="0.2">
      <c r="A2045" t="s">
        <v>3209</v>
      </c>
      <c r="B2045" t="s">
        <v>906</v>
      </c>
      <c r="C2045" t="s">
        <v>142</v>
      </c>
      <c r="D2045" t="s">
        <v>12</v>
      </c>
      <c r="E2045" s="3" t="str">
        <f>HYPERLINK("http://www.otzar.org/book.asp?611972","קונטרס הלכות ראש השנה ויום הכיפורים")</f>
        <v>קונטרס הלכות ראש השנה ויום הכיפורים</v>
      </c>
    </row>
    <row r="2046" spans="1:5" x14ac:dyDescent="0.2">
      <c r="A2046" t="s">
        <v>3210</v>
      </c>
      <c r="B2046" t="s">
        <v>1699</v>
      </c>
      <c r="C2046" t="s">
        <v>327</v>
      </c>
      <c r="D2046" t="s">
        <v>8</v>
      </c>
      <c r="E2046" s="3" t="str">
        <f>HYPERLINK("http://www.otzar.org/book.asp?27584","קונטרס המבצעים")</f>
        <v>קונטרס המבצעים</v>
      </c>
    </row>
    <row r="2047" spans="1:5" x14ac:dyDescent="0.2">
      <c r="A2047" t="s">
        <v>3211</v>
      </c>
      <c r="B2047" t="s">
        <v>3212</v>
      </c>
      <c r="C2047" t="s">
        <v>928</v>
      </c>
      <c r="D2047" t="s">
        <v>19</v>
      </c>
      <c r="E2047" s="3" t="str">
        <f>HYPERLINK("http://www.otzar.org/book.asp?143287","קונטרס המפתח לג' מאות ענינים בההמשך רס""ז-רס""ח")</f>
        <v>קונטרס המפתח לג' מאות ענינים בההמשך רס"ז-רס"ח</v>
      </c>
    </row>
    <row r="2048" spans="1:5" x14ac:dyDescent="0.2">
      <c r="A2048" t="s">
        <v>3213</v>
      </c>
      <c r="B2048" t="s">
        <v>30</v>
      </c>
      <c r="C2048" t="s">
        <v>31</v>
      </c>
      <c r="D2048" t="s">
        <v>8</v>
      </c>
      <c r="E2048" s="3" t="str">
        <f>HYPERLINK("http://www.otzar.org/book.asp?145944","קונטרס הנה זה בא")</f>
        <v>קונטרס הנה זה בא</v>
      </c>
    </row>
    <row r="2049" spans="1:5" x14ac:dyDescent="0.2">
      <c r="A2049" t="s">
        <v>3214</v>
      </c>
      <c r="B2049" t="s">
        <v>64</v>
      </c>
      <c r="C2049" t="s">
        <v>15</v>
      </c>
      <c r="D2049" t="s">
        <v>80</v>
      </c>
      <c r="E2049" s="3" t="str">
        <f>HYPERLINK("http://www.otzar.org/book.asp?196285","קונטרס העבודה &lt;מהדורת חדשה&gt;")</f>
        <v>קונטרס העבודה &lt;מהדורת חדשה&gt;</v>
      </c>
    </row>
    <row r="2050" spans="1:5" x14ac:dyDescent="0.2">
      <c r="A2050" t="s">
        <v>3215</v>
      </c>
      <c r="B2050" t="s">
        <v>64</v>
      </c>
      <c r="C2050" t="s">
        <v>67</v>
      </c>
      <c r="D2050" t="s">
        <v>8</v>
      </c>
      <c r="E2050" s="3" t="str">
        <f>HYPERLINK("http://www.otzar.org/book.asp?27016","קונטרס העבודה")</f>
        <v>קונטרס העבודה</v>
      </c>
    </row>
    <row r="2051" spans="1:5" x14ac:dyDescent="0.2">
      <c r="A2051" t="s">
        <v>3216</v>
      </c>
      <c r="B2051" t="s">
        <v>30</v>
      </c>
      <c r="C2051" t="s">
        <v>183</v>
      </c>
      <c r="D2051" t="s">
        <v>8</v>
      </c>
      <c r="E2051" s="3" t="str">
        <f>HYPERLINK("http://www.otzar.org/book.asp?27586","קונטרס העשירות")</f>
        <v>קונטרס העשירות</v>
      </c>
    </row>
    <row r="2052" spans="1:5" x14ac:dyDescent="0.2">
      <c r="A2052" t="s">
        <v>3217</v>
      </c>
      <c r="B2052" t="s">
        <v>30</v>
      </c>
      <c r="C2052" t="s">
        <v>152</v>
      </c>
      <c r="D2052" t="s">
        <v>8</v>
      </c>
      <c r="E2052" s="3" t="str">
        <f>HYPERLINK("http://www.otzar.org/book.asp?140946","קונטרס הקפות")</f>
        <v>קונטרס הקפות</v>
      </c>
    </row>
    <row r="2053" spans="1:5" x14ac:dyDescent="0.2">
      <c r="A2053" t="s">
        <v>3218</v>
      </c>
      <c r="B2053" t="s">
        <v>3219</v>
      </c>
      <c r="C2053" t="s">
        <v>39</v>
      </c>
      <c r="D2053" t="s">
        <v>12</v>
      </c>
      <c r="E2053" s="3" t="str">
        <f>HYPERLINK("http://www.otzar.org/book.asp?140822","קונטרס הרב")</f>
        <v>קונטרס הרב</v>
      </c>
    </row>
    <row r="2054" spans="1:5" x14ac:dyDescent="0.2">
      <c r="A2054" t="s">
        <v>3220</v>
      </c>
      <c r="B2054" t="s">
        <v>3221</v>
      </c>
      <c r="C2054" t="s">
        <v>477</v>
      </c>
      <c r="D2054" t="s">
        <v>8</v>
      </c>
      <c r="E2054" s="3" t="str">
        <f>HYPERLINK("http://www.otzar.org/book.asp?146405","קונטרס הרבנית דבורה לאה")</f>
        <v>קונטרס הרבנית דבורה לאה</v>
      </c>
    </row>
    <row r="2055" spans="1:5" x14ac:dyDescent="0.2">
      <c r="A2055" t="s">
        <v>3222</v>
      </c>
      <c r="B2055" t="s">
        <v>30</v>
      </c>
      <c r="C2055" t="s">
        <v>155</v>
      </c>
      <c r="D2055" t="s">
        <v>8</v>
      </c>
      <c r="E2055" s="3" t="str">
        <f>HYPERLINK("http://www.otzar.org/book.asp?141421","קונטרס השליחות - 3 כר'")</f>
        <v>קונטרס השליחות - 3 כר'</v>
      </c>
    </row>
    <row r="2056" spans="1:5" x14ac:dyDescent="0.2">
      <c r="A2056" t="s">
        <v>3223</v>
      </c>
      <c r="B2056" t="s">
        <v>64</v>
      </c>
      <c r="C2056" t="s">
        <v>165</v>
      </c>
      <c r="D2056" t="s">
        <v>8</v>
      </c>
      <c r="E2056" s="3" t="str">
        <f>HYPERLINK("http://www.otzar.org/book.asp?140814","קונטרס התפלה")</f>
        <v>קונטרס התפלה</v>
      </c>
    </row>
    <row r="2057" spans="1:5" x14ac:dyDescent="0.2">
      <c r="A2057" t="s">
        <v>3224</v>
      </c>
      <c r="B2057" t="s">
        <v>30</v>
      </c>
      <c r="C2057" t="s">
        <v>86</v>
      </c>
      <c r="D2057" t="s">
        <v>8</v>
      </c>
      <c r="E2057" s="3" t="str">
        <f>HYPERLINK("http://www.otzar.org/book.asp?142750","קונטרס ואתם תלוקטו לאחד אחד בני ישראל")</f>
        <v>קונטרס ואתם תלוקטו לאחד אחד בני ישראל</v>
      </c>
    </row>
    <row r="2058" spans="1:5" x14ac:dyDescent="0.2">
      <c r="A2058" t="s">
        <v>3225</v>
      </c>
      <c r="B2058" t="s">
        <v>75</v>
      </c>
      <c r="C2058" t="s">
        <v>3226</v>
      </c>
      <c r="D2058" t="s">
        <v>529</v>
      </c>
      <c r="E2058" s="3" t="str">
        <f>HYPERLINK("http://www.otzar.org/book.asp?199160","קונטרס וואס לערנט אונז חסידות")</f>
        <v>קונטרס וואס לערנט אונז חסידות</v>
      </c>
    </row>
    <row r="2059" spans="1:5" x14ac:dyDescent="0.2">
      <c r="A2059" t="s">
        <v>3227</v>
      </c>
      <c r="B2059" t="s">
        <v>3228</v>
      </c>
      <c r="C2059" t="s">
        <v>142</v>
      </c>
      <c r="D2059" t="s">
        <v>8</v>
      </c>
      <c r="E2059" s="3" t="str">
        <f>HYPERLINK("http://www.otzar.org/book.asp?613912","קונטרס ושבתי בשלום")</f>
        <v>קונטרס ושבתי בשלום</v>
      </c>
    </row>
    <row r="2060" spans="1:5" x14ac:dyDescent="0.2">
      <c r="A2060" t="s">
        <v>3229</v>
      </c>
      <c r="B2060" t="s">
        <v>3230</v>
      </c>
      <c r="E2060" s="3" t="str">
        <f>HYPERLINK("http://www.otzar.org/book.asp?627078","קונטרס זהיר טפי")</f>
        <v>קונטרס זהיר טפי</v>
      </c>
    </row>
    <row r="2061" spans="1:5" x14ac:dyDescent="0.2">
      <c r="A2061" t="s">
        <v>3231</v>
      </c>
      <c r="B2061" t="s">
        <v>3232</v>
      </c>
      <c r="C2061" t="s">
        <v>7</v>
      </c>
      <c r="D2061" t="s">
        <v>249</v>
      </c>
      <c r="E2061" s="3" t="str">
        <f>HYPERLINK("http://www.otzar.org/book.asp?627246","קונטרס זכרון הרב משה מרדכי")</f>
        <v>קונטרס זכרון הרב משה מרדכי</v>
      </c>
    </row>
    <row r="2062" spans="1:5" x14ac:dyDescent="0.2">
      <c r="A2062" t="s">
        <v>3233</v>
      </c>
      <c r="B2062" t="s">
        <v>517</v>
      </c>
      <c r="C2062" t="s">
        <v>39</v>
      </c>
      <c r="D2062" t="s">
        <v>529</v>
      </c>
      <c r="E2062" s="3" t="str">
        <f>HYPERLINK("http://www.otzar.org/book.asp?199162","קונטרס חיזוק הביטחון")</f>
        <v>קונטרס חיזוק הביטחון</v>
      </c>
    </row>
    <row r="2063" spans="1:5" x14ac:dyDescent="0.2">
      <c r="A2063" t="s">
        <v>3234</v>
      </c>
      <c r="B2063" t="s">
        <v>2322</v>
      </c>
      <c r="C2063" t="s">
        <v>119</v>
      </c>
      <c r="D2063" t="s">
        <v>816</v>
      </c>
      <c r="E2063" s="3" t="str">
        <f>HYPERLINK("http://www.otzar.org/book.asp?145739","קונטרס יום טוב שני להעובר ממקום למקום")</f>
        <v>קונטרס יום טוב שני להעובר ממקום למקום</v>
      </c>
    </row>
    <row r="2064" spans="1:5" x14ac:dyDescent="0.2">
      <c r="A2064" t="s">
        <v>3235</v>
      </c>
      <c r="B2064" t="s">
        <v>969</v>
      </c>
      <c r="C2064" t="s">
        <v>76</v>
      </c>
      <c r="D2064" t="s">
        <v>19</v>
      </c>
      <c r="E2064" s="3" t="str">
        <f>HYPERLINK("http://www.otzar.org/book.asp?27712","קונטרס יחי אדוננו מורנו ורבנו")</f>
        <v>קונטרס יחי אדוננו מורנו ורבנו</v>
      </c>
    </row>
    <row r="2065" spans="1:5" x14ac:dyDescent="0.2">
      <c r="A2065" t="s">
        <v>3236</v>
      </c>
      <c r="B2065" t="s">
        <v>3181</v>
      </c>
      <c r="C2065" t="s">
        <v>22</v>
      </c>
      <c r="D2065" t="s">
        <v>8</v>
      </c>
      <c r="E2065" s="3" t="str">
        <f>HYPERLINK("http://www.otzar.org/book.asp?141511","קונטרס ימות המשיח")</f>
        <v>קונטרס ימות המשיח</v>
      </c>
    </row>
    <row r="2066" spans="1:5" x14ac:dyDescent="0.2">
      <c r="A2066" t="s">
        <v>3237</v>
      </c>
      <c r="B2066" t="s">
        <v>30</v>
      </c>
      <c r="C2066" t="s">
        <v>142</v>
      </c>
      <c r="D2066" t="s">
        <v>8</v>
      </c>
      <c r="E2066" s="3" t="str">
        <f>HYPERLINK("http://www.otzar.org/book.asp?621048","קונטרס כ""ב שבט - תשע""ח")</f>
        <v>קונטרס כ"ב שבט - תשע"ח</v>
      </c>
    </row>
    <row r="2067" spans="1:5" x14ac:dyDescent="0.2">
      <c r="A2067" t="s">
        <v>3238</v>
      </c>
      <c r="B2067" t="s">
        <v>3239</v>
      </c>
      <c r="C2067" t="s">
        <v>44</v>
      </c>
      <c r="D2067" t="s">
        <v>3240</v>
      </c>
      <c r="E2067" s="3" t="str">
        <f>HYPERLINK("http://www.otzar.org/book.asp?614752","קונטרס כדכד שמשותיך")</f>
        <v>קונטרס כדכד שמשותיך</v>
      </c>
    </row>
    <row r="2068" spans="1:5" x14ac:dyDescent="0.2">
      <c r="A2068" t="s">
        <v>3241</v>
      </c>
      <c r="B2068" t="s">
        <v>3242</v>
      </c>
      <c r="C2068" t="s">
        <v>477</v>
      </c>
      <c r="D2068" t="s">
        <v>8</v>
      </c>
      <c r="E2068" s="3" t="str">
        <f>HYPERLINK("http://www.otzar.org/book.asp?27412","קונטרס ליקוטי פנינים")</f>
        <v>קונטרס ליקוטי פנינים</v>
      </c>
    </row>
    <row r="2069" spans="1:5" x14ac:dyDescent="0.2">
      <c r="A2069" t="s">
        <v>3243</v>
      </c>
      <c r="B2069" t="s">
        <v>3243</v>
      </c>
      <c r="C2069" t="s">
        <v>183</v>
      </c>
      <c r="D2069" t="s">
        <v>19</v>
      </c>
      <c r="E2069" s="3" t="str">
        <f>HYPERLINK("http://www.otzar.org/book.asp?145928","קונטרס לקח טוב")</f>
        <v>קונטרס לקח טוב</v>
      </c>
    </row>
    <row r="2070" spans="1:5" x14ac:dyDescent="0.2">
      <c r="A2070" t="s">
        <v>3244</v>
      </c>
      <c r="B2070" t="s">
        <v>3244</v>
      </c>
      <c r="C2070" t="s">
        <v>39</v>
      </c>
      <c r="D2070" t="s">
        <v>19</v>
      </c>
      <c r="E2070" s="3" t="str">
        <f>HYPERLINK("http://www.otzar.org/book.asp?145774","קונטרס לשון חכמים")</f>
        <v>קונטרס לשון חכמים</v>
      </c>
    </row>
    <row r="2071" spans="1:5" x14ac:dyDescent="0.2">
      <c r="A2071" t="s">
        <v>3245</v>
      </c>
      <c r="B2071" t="s">
        <v>30</v>
      </c>
      <c r="C2071" t="s">
        <v>119</v>
      </c>
      <c r="D2071" t="s">
        <v>8</v>
      </c>
      <c r="E2071" s="3" t="str">
        <f>HYPERLINK("http://www.otzar.org/book.asp?27575","קונטרס מאי חנוכה")</f>
        <v>קונטרס מאי חנוכה</v>
      </c>
    </row>
    <row r="2072" spans="1:5" x14ac:dyDescent="0.2">
      <c r="A2072" t="s">
        <v>3246</v>
      </c>
      <c r="B2072" t="s">
        <v>30</v>
      </c>
      <c r="C2072" t="s">
        <v>73</v>
      </c>
      <c r="D2072" t="s">
        <v>19</v>
      </c>
      <c r="E2072" s="3" t="str">
        <f>HYPERLINK("http://www.otzar.org/book.asp?610250","קונטרס מכתבים ומענות")</f>
        <v>קונטרס מכתבים ומענות</v>
      </c>
    </row>
    <row r="2073" spans="1:5" x14ac:dyDescent="0.2">
      <c r="A2073" t="s">
        <v>3247</v>
      </c>
      <c r="B2073" t="s">
        <v>108</v>
      </c>
      <c r="C2073" t="s">
        <v>213</v>
      </c>
      <c r="D2073" t="s">
        <v>600</v>
      </c>
      <c r="E2073" s="3" t="str">
        <f>HYPERLINK("http://www.otzar.org/book.asp?145741","קונטרס מנחם משיב נפשי - 2 כר'")</f>
        <v>קונטרס מנחם משיב נפשי - 2 כר'</v>
      </c>
    </row>
    <row r="2074" spans="1:5" x14ac:dyDescent="0.2">
      <c r="A2074" t="s">
        <v>3248</v>
      </c>
      <c r="B2074" t="s">
        <v>172</v>
      </c>
      <c r="C2074" t="s">
        <v>148</v>
      </c>
      <c r="D2074" t="s">
        <v>8</v>
      </c>
      <c r="E2074" s="3" t="str">
        <f>HYPERLINK("http://www.otzar.org/book.asp?614797","קונטרס מעדני יום טוב - חג שבועות ומתן תורה")</f>
        <v>קונטרס מעדני יום טוב - חג שבועות ומתן תורה</v>
      </c>
    </row>
    <row r="2075" spans="1:5" x14ac:dyDescent="0.2">
      <c r="A2075" t="s">
        <v>3249</v>
      </c>
      <c r="B2075" t="s">
        <v>108</v>
      </c>
      <c r="C2075" t="s">
        <v>183</v>
      </c>
      <c r="D2075" t="s">
        <v>8</v>
      </c>
      <c r="E2075" s="3" t="str">
        <f>HYPERLINK("http://www.otzar.org/book.asp?145651","קונטרס מעדני יום טוב - יג")</f>
        <v>קונטרס מעדני יום טוב - יג</v>
      </c>
    </row>
    <row r="2076" spans="1:5" x14ac:dyDescent="0.2">
      <c r="A2076" t="s">
        <v>3250</v>
      </c>
      <c r="B2076" t="s">
        <v>3250</v>
      </c>
      <c r="C2076" t="s">
        <v>183</v>
      </c>
      <c r="D2076" t="s">
        <v>240</v>
      </c>
      <c r="E2076" s="3" t="str">
        <f>HYPERLINK("http://www.otzar.org/book.asp?27552","קונטרס מעמד")</f>
        <v>קונטרס מעמד</v>
      </c>
    </row>
    <row r="2077" spans="1:5" x14ac:dyDescent="0.2">
      <c r="A2077" t="s">
        <v>3251</v>
      </c>
      <c r="B2077" t="s">
        <v>3252</v>
      </c>
      <c r="C2077" t="s">
        <v>86</v>
      </c>
      <c r="D2077" t="s">
        <v>8</v>
      </c>
      <c r="E2077" s="3" t="str">
        <f>HYPERLINK("http://www.otzar.org/book.asp?146409","קונטרס מקואות בהלכה")</f>
        <v>קונטרס מקואות בהלכה</v>
      </c>
    </row>
    <row r="2078" spans="1:5" x14ac:dyDescent="0.2">
      <c r="A2078" t="s">
        <v>3253</v>
      </c>
      <c r="B2078" t="s">
        <v>3254</v>
      </c>
      <c r="C2078" t="s">
        <v>47</v>
      </c>
      <c r="D2078" t="s">
        <v>1228</v>
      </c>
      <c r="E2078" s="3" t="str">
        <f>HYPERLINK("http://www.otzar.org/book.asp?145117","קונטרס מקוה ע""ג מקוה")</f>
        <v>קונטרס מקוה ע"ג מקוה</v>
      </c>
    </row>
    <row r="2079" spans="1:5" x14ac:dyDescent="0.2">
      <c r="A2079" t="s">
        <v>3255</v>
      </c>
      <c r="B2079" t="s">
        <v>3256</v>
      </c>
      <c r="C2079" t="s">
        <v>76</v>
      </c>
      <c r="D2079" t="s">
        <v>8</v>
      </c>
      <c r="E2079" s="3" t="str">
        <f>HYPERLINK("http://www.otzar.org/book.asp?146297","קונטרס מקורות וביאורים בספר המנהגים - 2 כר'")</f>
        <v>קונטרס מקורות וביאורים בספר המנהגים - 2 כר'</v>
      </c>
    </row>
    <row r="2080" spans="1:5" x14ac:dyDescent="0.2">
      <c r="A2080" t="s">
        <v>3257</v>
      </c>
      <c r="B2080" t="s">
        <v>3258</v>
      </c>
      <c r="C2080" t="s">
        <v>155</v>
      </c>
      <c r="D2080" t="s">
        <v>116</v>
      </c>
      <c r="E2080" s="3" t="str">
        <f>HYPERLINK("http://www.otzar.org/book.asp?27462","קונטרס מקיף - 2 כר'")</f>
        <v>קונטרס מקיף - 2 כר'</v>
      </c>
    </row>
    <row r="2081" spans="1:5" x14ac:dyDescent="0.2">
      <c r="A2081" t="s">
        <v>3259</v>
      </c>
      <c r="B2081" t="s">
        <v>899</v>
      </c>
      <c r="C2081" t="s">
        <v>31</v>
      </c>
      <c r="D2081" t="s">
        <v>8</v>
      </c>
      <c r="E2081" s="3" t="str">
        <f>HYPERLINK("http://www.otzar.org/book.asp?141550","קונטרס משיח שבכל דור")</f>
        <v>קונטרס משיח שבכל דור</v>
      </c>
    </row>
    <row r="2082" spans="1:5" x14ac:dyDescent="0.2">
      <c r="A2082" t="s">
        <v>3260</v>
      </c>
      <c r="B2082" t="s">
        <v>3261</v>
      </c>
      <c r="C2082" t="s">
        <v>155</v>
      </c>
      <c r="D2082" t="s">
        <v>332</v>
      </c>
      <c r="E2082" s="3" t="str">
        <f>HYPERLINK("http://www.otzar.org/book.asp?27706","קונטרס משנת מלך")</f>
        <v>קונטרס משנת מלך</v>
      </c>
    </row>
    <row r="2083" spans="1:5" x14ac:dyDescent="0.2">
      <c r="A2083" t="s">
        <v>3262</v>
      </c>
      <c r="B2083" t="s">
        <v>108</v>
      </c>
      <c r="C2083" t="s">
        <v>183</v>
      </c>
      <c r="D2083" t="s">
        <v>272</v>
      </c>
      <c r="E2083" s="3" t="str">
        <f>HYPERLINK("http://www.otzar.org/book.asp?146043","קונטרס נרות להאיר")</f>
        <v>קונטרס נרות להאיר</v>
      </c>
    </row>
    <row r="2084" spans="1:5" x14ac:dyDescent="0.2">
      <c r="A2084" t="s">
        <v>3263</v>
      </c>
      <c r="B2084" t="s">
        <v>30</v>
      </c>
      <c r="C2084" t="s">
        <v>111</v>
      </c>
      <c r="D2084" t="s">
        <v>8</v>
      </c>
      <c r="E2084" s="3" t="str">
        <f>HYPERLINK("http://www.otzar.org/book.asp?146419","קונטרס סיום והכנסת ספר תורה - 3 כר'")</f>
        <v>קונטרס סיום והכנסת ספר תורה - 3 כר'</v>
      </c>
    </row>
    <row r="2085" spans="1:5" x14ac:dyDescent="0.2">
      <c r="A2085" t="s">
        <v>3264</v>
      </c>
      <c r="B2085" t="s">
        <v>30</v>
      </c>
      <c r="C2085" t="s">
        <v>155</v>
      </c>
      <c r="D2085" t="s">
        <v>8</v>
      </c>
      <c r="E2085" s="3" t="str">
        <f>HYPERLINK("http://www.otzar.org/book.asp?146324","קונטרס ע""ד מבצע הקהל")</f>
        <v>קונטרס ע"ד מבצע הקהל</v>
      </c>
    </row>
    <row r="2086" spans="1:5" x14ac:dyDescent="0.2">
      <c r="A2086" t="s">
        <v>3265</v>
      </c>
      <c r="B2086" t="s">
        <v>33</v>
      </c>
      <c r="C2086" t="s">
        <v>67</v>
      </c>
      <c r="D2086" t="s">
        <v>3266</v>
      </c>
      <c r="E2086" s="3" t="str">
        <f>HYPERLINK("http://www.otzar.org/book.asp?161308","קונטרס עטרת זקנים")</f>
        <v>קונטרס עטרת זקנים</v>
      </c>
    </row>
    <row r="2087" spans="1:5" x14ac:dyDescent="0.2">
      <c r="A2087" t="s">
        <v>3267</v>
      </c>
      <c r="B2087" t="s">
        <v>105</v>
      </c>
      <c r="C2087" t="s">
        <v>76</v>
      </c>
      <c r="E2087" s="3" t="str">
        <f>HYPERLINK("http://www.otzar.org/book.asp?607971","קונטרס עניינה של תורת החסידות")</f>
        <v>קונטרס עניינה של תורת החסידות</v>
      </c>
    </row>
    <row r="2088" spans="1:5" x14ac:dyDescent="0.2">
      <c r="A2088" t="s">
        <v>3268</v>
      </c>
      <c r="B2088" t="s">
        <v>1623</v>
      </c>
      <c r="C2088" t="s">
        <v>142</v>
      </c>
      <c r="D2088" t="s">
        <v>12</v>
      </c>
      <c r="E2088" s="3" t="str">
        <f>HYPERLINK("http://www.otzar.org/book.asp?613917","קונטרס ענינה של תורת החסידות עם שיעורי הרב יואל כהן")</f>
        <v>קונטרס ענינה של תורת החסידות עם שיעורי הרב יואל כהן</v>
      </c>
    </row>
    <row r="2089" spans="1:5" x14ac:dyDescent="0.2">
      <c r="A2089" t="s">
        <v>3269</v>
      </c>
      <c r="B2089" t="s">
        <v>30</v>
      </c>
      <c r="C2089" t="s">
        <v>67</v>
      </c>
      <c r="D2089" t="s">
        <v>12</v>
      </c>
      <c r="E2089" s="3" t="str">
        <f>HYPERLINK("http://www.otzar.org/book.asp?27397","קונטרס ענינה של תורת החסידות")</f>
        <v>קונטרס ענינה של תורת החסידות</v>
      </c>
    </row>
    <row r="2090" spans="1:5" x14ac:dyDescent="0.2">
      <c r="A2090" t="s">
        <v>3270</v>
      </c>
      <c r="B2090" t="s">
        <v>64</v>
      </c>
      <c r="C2090" t="s">
        <v>67</v>
      </c>
      <c r="D2090" t="s">
        <v>8</v>
      </c>
      <c r="E2090" s="3" t="str">
        <f>HYPERLINK("http://www.otzar.org/book.asp?27015","קונטרס עץ החיים")</f>
        <v>קונטרס עץ החיים</v>
      </c>
    </row>
    <row r="2091" spans="1:5" x14ac:dyDescent="0.2">
      <c r="A2091" t="s">
        <v>3271</v>
      </c>
      <c r="B2091" t="s">
        <v>30</v>
      </c>
      <c r="C2091" t="s">
        <v>1019</v>
      </c>
      <c r="D2091" t="s">
        <v>8</v>
      </c>
      <c r="E2091" s="3" t="str">
        <f>HYPERLINK("http://www.otzar.org/book.asp?146379","קונטרס עשרים באב")</f>
        <v>קונטרס עשרים באב</v>
      </c>
    </row>
    <row r="2092" spans="1:5" x14ac:dyDescent="0.2">
      <c r="A2092" t="s">
        <v>3272</v>
      </c>
      <c r="B2092" t="s">
        <v>30</v>
      </c>
      <c r="C2092" t="s">
        <v>31</v>
      </c>
      <c r="D2092" t="s">
        <v>8</v>
      </c>
      <c r="E2092" s="3" t="str">
        <f>HYPERLINK("http://www.otzar.org/book.asp?614922","קונטרס פורים קטן - תשנ""ב")</f>
        <v>קונטרס פורים קטן - תשנ"ב</v>
      </c>
    </row>
    <row r="2093" spans="1:5" x14ac:dyDescent="0.2">
      <c r="A2093" t="s">
        <v>3273</v>
      </c>
      <c r="B2093" t="s">
        <v>33</v>
      </c>
      <c r="C2093" t="s">
        <v>44</v>
      </c>
      <c r="D2093" t="s">
        <v>1507</v>
      </c>
      <c r="E2093" s="3" t="str">
        <f>HYPERLINK("http://www.otzar.org/book.asp?173330","קונטרס צדיק אוכל לשובע נפשו")</f>
        <v>קונטרס צדיק אוכל לשובע נפשו</v>
      </c>
    </row>
    <row r="2094" spans="1:5" x14ac:dyDescent="0.2">
      <c r="A2094" t="s">
        <v>3274</v>
      </c>
      <c r="B2094" t="s">
        <v>3275</v>
      </c>
      <c r="C2094" t="s">
        <v>49</v>
      </c>
      <c r="D2094" t="s">
        <v>19</v>
      </c>
      <c r="E2094" s="3" t="str">
        <f>HYPERLINK("http://www.otzar.org/book.asp?141446","קונטרס צידה לדרך")</f>
        <v>קונטרס צידה לדרך</v>
      </c>
    </row>
    <row r="2095" spans="1:5" x14ac:dyDescent="0.2">
      <c r="A2095" t="s">
        <v>3276</v>
      </c>
      <c r="B2095" t="s">
        <v>969</v>
      </c>
      <c r="C2095" t="s">
        <v>47</v>
      </c>
      <c r="D2095" t="s">
        <v>40</v>
      </c>
      <c r="E2095" s="3" t="str">
        <f>HYPERLINK("http://www.otzar.org/book.asp?146509","קונטרס צפית לישועה")</f>
        <v>קונטרס צפית לישועה</v>
      </c>
    </row>
    <row r="2096" spans="1:5" x14ac:dyDescent="0.2">
      <c r="A2096" t="s">
        <v>3277</v>
      </c>
      <c r="B2096" t="s">
        <v>30</v>
      </c>
      <c r="C2096" t="s">
        <v>111</v>
      </c>
      <c r="D2096" t="s">
        <v>1228</v>
      </c>
      <c r="E2096" s="3" t="str">
        <f>HYPERLINK("http://www.otzar.org/book.asp?146242","קונטרס קביעות עתים")</f>
        <v>קונטרס קביעות עתים</v>
      </c>
    </row>
    <row r="2097" spans="1:5" x14ac:dyDescent="0.2">
      <c r="A2097" t="s">
        <v>3278</v>
      </c>
      <c r="B2097" t="s">
        <v>43</v>
      </c>
      <c r="C2097" t="s">
        <v>3279</v>
      </c>
      <c r="E2097" s="3" t="str">
        <f>HYPERLINK("http://www.otzar.org/book.asp?150371","קונטרס קטן מעניני בחירה")</f>
        <v>קונטרס קטן מעניני בחירה</v>
      </c>
    </row>
    <row r="2098" spans="1:5" x14ac:dyDescent="0.2">
      <c r="A2098" t="s">
        <v>3280</v>
      </c>
      <c r="B2098" t="s">
        <v>30</v>
      </c>
      <c r="C2098" t="s">
        <v>67</v>
      </c>
      <c r="D2098" t="s">
        <v>40</v>
      </c>
      <c r="E2098" s="3" t="str">
        <f>HYPERLINK("http://www.otzar.org/book.asp?141412","קונטרס קידושי אבות")</f>
        <v>קונטרס קידושי אבות</v>
      </c>
    </row>
    <row r="2099" spans="1:5" x14ac:dyDescent="0.2">
      <c r="A2099" t="s">
        <v>3281</v>
      </c>
      <c r="B2099" t="s">
        <v>30</v>
      </c>
      <c r="C2099" t="s">
        <v>65</v>
      </c>
      <c r="D2099" t="s">
        <v>19</v>
      </c>
      <c r="E2099" s="3" t="str">
        <f>HYPERLINK("http://www.otzar.org/book.asp?146525","קונטרס ר""ח כסלו תשמ""ח")</f>
        <v>קונטרס ר"ח כסלו תשמ"ח</v>
      </c>
    </row>
    <row r="2100" spans="1:5" x14ac:dyDescent="0.2">
      <c r="A2100" t="s">
        <v>3282</v>
      </c>
      <c r="B2100" t="s">
        <v>30</v>
      </c>
      <c r="C2100" t="s">
        <v>31</v>
      </c>
      <c r="D2100" t="s">
        <v>8</v>
      </c>
      <c r="E2100" s="3" t="str">
        <f>HYPERLINK("http://www.otzar.org/book.asp?146384","קונטרס רפאני ה' וארפא")</f>
        <v>קונטרס רפאני ה' וארפא</v>
      </c>
    </row>
    <row r="2101" spans="1:5" x14ac:dyDescent="0.2">
      <c r="A2101" t="s">
        <v>3283</v>
      </c>
      <c r="B2101" t="s">
        <v>1626</v>
      </c>
      <c r="C2101" t="s">
        <v>276</v>
      </c>
      <c r="D2101" t="s">
        <v>3284</v>
      </c>
      <c r="E2101" s="3" t="str">
        <f>HYPERLINK("http://www.otzar.org/book.asp?146001","קונטרס שואלין ודורשין")</f>
        <v>קונטרס שואלין ודורשין</v>
      </c>
    </row>
    <row r="2102" spans="1:5" x14ac:dyDescent="0.2">
      <c r="A2102" t="s">
        <v>3285</v>
      </c>
      <c r="B2102" t="s">
        <v>1929</v>
      </c>
      <c r="C2102" t="s">
        <v>76</v>
      </c>
      <c r="D2102" t="s">
        <v>8</v>
      </c>
      <c r="E2102" s="3" t="str">
        <f>HYPERLINK("http://www.otzar.org/book.asp?146000","קונטרס שונה הלכות הרב")</f>
        <v>קונטרס שונה הלכות הרב</v>
      </c>
    </row>
    <row r="2103" spans="1:5" x14ac:dyDescent="0.2">
      <c r="A2103" t="s">
        <v>3286</v>
      </c>
      <c r="B2103" t="s">
        <v>30</v>
      </c>
      <c r="C2103" t="s">
        <v>31</v>
      </c>
      <c r="D2103" t="s">
        <v>8</v>
      </c>
      <c r="E2103" s="3" t="str">
        <f>HYPERLINK("http://www.otzar.org/book.asp?142705","קונטרס שופטים תתן לך")</f>
        <v>קונטרס שופטים תתן לך</v>
      </c>
    </row>
    <row r="2104" spans="1:5" x14ac:dyDescent="0.2">
      <c r="A2104" t="s">
        <v>3287</v>
      </c>
      <c r="B2104" t="s">
        <v>3288</v>
      </c>
      <c r="C2104" t="s">
        <v>76</v>
      </c>
      <c r="D2104" t="s">
        <v>19</v>
      </c>
      <c r="E2104" s="3" t="str">
        <f>HYPERLINK("http://www.otzar.org/book.asp?160601","קונטרס שחיטת ליובאוויטש")</f>
        <v>קונטרס שחיטת ליובאוויטש</v>
      </c>
    </row>
    <row r="2105" spans="1:5" x14ac:dyDescent="0.2">
      <c r="A2105" t="s">
        <v>3289</v>
      </c>
      <c r="B2105" t="s">
        <v>1482</v>
      </c>
      <c r="C2105" t="s">
        <v>191</v>
      </c>
      <c r="D2105" t="s">
        <v>40</v>
      </c>
      <c r="E2105" s="3" t="str">
        <f>HYPERLINK("http://www.otzar.org/book.asp?163389","קונטרס שלא תצא מכלל ישראל כו'")</f>
        <v>קונטרס שלא תצא מכלל ישראל כו'</v>
      </c>
    </row>
    <row r="2106" spans="1:5" x14ac:dyDescent="0.2">
      <c r="A2106" t="s">
        <v>3290</v>
      </c>
      <c r="B2106" t="s">
        <v>303</v>
      </c>
      <c r="C2106" t="s">
        <v>142</v>
      </c>
      <c r="D2106" t="s">
        <v>12</v>
      </c>
      <c r="E2106" s="3" t="str">
        <f>HYPERLINK("http://www.otzar.org/book.asp?618908","קונטרס שלום בית")</f>
        <v>קונטרס שלום בית</v>
      </c>
    </row>
    <row r="2107" spans="1:5" x14ac:dyDescent="0.2">
      <c r="A2107" t="s">
        <v>3291</v>
      </c>
      <c r="B2107" t="s">
        <v>3228</v>
      </c>
      <c r="C2107" t="s">
        <v>39</v>
      </c>
      <c r="D2107" t="s">
        <v>8</v>
      </c>
      <c r="E2107" s="3" t="str">
        <f>HYPERLINK("http://www.otzar.org/book.asp?146540","קונטרס שליחות נפשית ועיקרית")</f>
        <v>קונטרס שליחות נפשית ועיקרית</v>
      </c>
    </row>
    <row r="2108" spans="1:5" x14ac:dyDescent="0.2">
      <c r="A2108" t="s">
        <v>3292</v>
      </c>
      <c r="B2108" t="s">
        <v>30</v>
      </c>
      <c r="C2108" t="s">
        <v>161</v>
      </c>
      <c r="D2108" t="s">
        <v>12</v>
      </c>
      <c r="E2108" s="3" t="str">
        <f>HYPERLINK("http://www.otzar.org/book.asp?27366","קונטרס שלמי חגיגה")</f>
        <v>קונטרס שלמי חגיגה</v>
      </c>
    </row>
    <row r="2109" spans="1:5" x14ac:dyDescent="0.2">
      <c r="A2109" t="s">
        <v>3293</v>
      </c>
      <c r="B2109" t="s">
        <v>10</v>
      </c>
      <c r="C2109" t="s">
        <v>350</v>
      </c>
      <c r="D2109" t="s">
        <v>40</v>
      </c>
      <c r="E2109" s="3" t="str">
        <f>HYPERLINK("http://www.otzar.org/book.asp?611971","קונטרס שמונה פרקים מספר התניא")</f>
        <v>קונטרס שמונה פרקים מספר התניא</v>
      </c>
    </row>
    <row r="2110" spans="1:5" x14ac:dyDescent="0.2">
      <c r="A2110" t="s">
        <v>3294</v>
      </c>
      <c r="B2110" t="s">
        <v>38</v>
      </c>
      <c r="C2110" t="s">
        <v>126</v>
      </c>
      <c r="D2110" t="s">
        <v>8</v>
      </c>
      <c r="E2110" s="3" t="str">
        <f>HYPERLINK("http://www.otzar.org/book.asp?146376","קונטרס שני מכתבים")</f>
        <v>קונטרס שני מכתבים</v>
      </c>
    </row>
    <row r="2111" spans="1:5" x14ac:dyDescent="0.2">
      <c r="A2111" t="s">
        <v>3295</v>
      </c>
      <c r="B2111" t="s">
        <v>30</v>
      </c>
      <c r="C2111" t="s">
        <v>18</v>
      </c>
      <c r="D2111" t="s">
        <v>8</v>
      </c>
      <c r="E2111" s="3" t="str">
        <f>HYPERLINK("http://www.otzar.org/book.asp?146400","קונטרס שנת היובל - חמישים שנה")</f>
        <v>קונטרס שנת היובל - חמישים שנה</v>
      </c>
    </row>
    <row r="2112" spans="1:5" x14ac:dyDescent="0.2">
      <c r="A2112" t="s">
        <v>3296</v>
      </c>
      <c r="B2112" t="s">
        <v>3297</v>
      </c>
      <c r="C2112" t="s">
        <v>76</v>
      </c>
      <c r="D2112" t="s">
        <v>19</v>
      </c>
      <c r="E2112" s="3" t="str">
        <f>HYPERLINK("http://www.otzar.org/book.asp?616780","קונטרס - על יום ירושלים")</f>
        <v>קונטרס - על יום ירושלים</v>
      </c>
    </row>
    <row r="2113" spans="1:5" x14ac:dyDescent="0.2">
      <c r="A2113" t="s">
        <v>3298</v>
      </c>
      <c r="B2113" t="s">
        <v>3299</v>
      </c>
      <c r="C2113" t="s">
        <v>1019</v>
      </c>
      <c r="D2113" t="s">
        <v>92</v>
      </c>
      <c r="E2113" s="3" t="str">
        <f>HYPERLINK("http://www.otzar.org/book.asp?146097","קונטרס - 2 כר'")</f>
        <v>קונטרס - 2 כר'</v>
      </c>
    </row>
    <row r="2114" spans="1:5" x14ac:dyDescent="0.2">
      <c r="A2114" t="s">
        <v>3300</v>
      </c>
      <c r="B2114" t="s">
        <v>360</v>
      </c>
      <c r="C2114" t="s">
        <v>2479</v>
      </c>
      <c r="D2114" t="s">
        <v>8</v>
      </c>
      <c r="E2114" s="3" t="str">
        <f>HYPERLINK("http://www.otzar.org/book.asp?146092","קונטרס - 15 כר'")</f>
        <v>קונטרס - 15 כר'</v>
      </c>
    </row>
    <row r="2115" spans="1:5" x14ac:dyDescent="0.2">
      <c r="A2115" t="s">
        <v>3301</v>
      </c>
      <c r="B2115" t="s">
        <v>403</v>
      </c>
      <c r="C2115" t="s">
        <v>119</v>
      </c>
      <c r="D2115" t="s">
        <v>8</v>
      </c>
      <c r="E2115" s="3" t="str">
        <f>HYPERLINK("http://www.otzar.org/book.asp?14897","קונטרס - 40 כר'")</f>
        <v>קונטרס - 40 כר'</v>
      </c>
    </row>
    <row r="2116" spans="1:5" x14ac:dyDescent="0.2">
      <c r="A2116" t="s">
        <v>3302</v>
      </c>
      <c r="B2116" t="s">
        <v>3303</v>
      </c>
      <c r="C2116" t="s">
        <v>3304</v>
      </c>
      <c r="D2116" t="s">
        <v>26</v>
      </c>
      <c r="E2116" s="3" t="str">
        <f>HYPERLINK("http://www.otzar.org/book.asp?9893","קונטרסים &lt;ליקוט פתגמים&gt;")</f>
        <v>קונטרסים &lt;ליקוט פתגמים&gt;</v>
      </c>
    </row>
    <row r="2117" spans="1:5" x14ac:dyDescent="0.2">
      <c r="A2117" t="s">
        <v>3305</v>
      </c>
      <c r="B2117" t="s">
        <v>30</v>
      </c>
      <c r="C2117" t="s">
        <v>1756</v>
      </c>
      <c r="D2117" t="s">
        <v>8</v>
      </c>
      <c r="E2117" s="3" t="str">
        <f>HYPERLINK("http://www.otzar.org/book.asp?143277","קונטרסים חורף התשל""ח")</f>
        <v>קונטרסים חורף התשל"ח</v>
      </c>
    </row>
    <row r="2118" spans="1:5" x14ac:dyDescent="0.2">
      <c r="A2118" t="s">
        <v>3306</v>
      </c>
      <c r="B2118" t="s">
        <v>3307</v>
      </c>
      <c r="C2118" t="s">
        <v>165</v>
      </c>
      <c r="D2118" t="s">
        <v>8</v>
      </c>
      <c r="E2118" s="3" t="str">
        <f>HYPERLINK("http://www.otzar.org/book.asp?27828","קטלוג הוצאת ספרים קה""ת")</f>
        <v>קטלוג הוצאת ספרים קה"ת</v>
      </c>
    </row>
    <row r="2119" spans="1:5" x14ac:dyDescent="0.2">
      <c r="A2119" t="s">
        <v>3308</v>
      </c>
      <c r="B2119" t="s">
        <v>3307</v>
      </c>
      <c r="C2119" t="s">
        <v>82</v>
      </c>
      <c r="D2119" t="s">
        <v>12</v>
      </c>
      <c r="E2119" s="3" t="str">
        <f>HYPERLINK("http://www.otzar.org/book.asp?607997","קטלוג קה""ת")</f>
        <v>קטלוג קה"ת</v>
      </c>
    </row>
    <row r="2120" spans="1:5" x14ac:dyDescent="0.2">
      <c r="A2120" t="s">
        <v>3309</v>
      </c>
      <c r="B2120" t="s">
        <v>3310</v>
      </c>
      <c r="C2120" t="s">
        <v>477</v>
      </c>
      <c r="D2120" t="s">
        <v>972</v>
      </c>
      <c r="E2120" s="3" t="str">
        <f>HYPERLINK("http://www.otzar.org/book.asp?142624","קידוש החודש להרמב""ם")</f>
        <v>קידוש החודש להרמב"ם</v>
      </c>
    </row>
    <row r="2121" spans="1:5" x14ac:dyDescent="0.2">
      <c r="A2121" t="s">
        <v>3311</v>
      </c>
      <c r="B2121" t="s">
        <v>239</v>
      </c>
      <c r="C2121" t="s">
        <v>129</v>
      </c>
      <c r="D2121" t="s">
        <v>8</v>
      </c>
      <c r="E2121" s="3" t="str">
        <f>HYPERLINK("http://www.otzar.org/book.asp?27865","קיצור דיני ומנהגי נרות שבת קודש ויו""ט")</f>
        <v>קיצור דיני ומנהגי נרות שבת קודש ויו"ט</v>
      </c>
    </row>
    <row r="2122" spans="1:5" x14ac:dyDescent="0.2">
      <c r="A2122" t="s">
        <v>3312</v>
      </c>
      <c r="B2122" t="s">
        <v>30</v>
      </c>
      <c r="C2122" t="s">
        <v>54</v>
      </c>
      <c r="D2122" t="s">
        <v>8</v>
      </c>
      <c r="E2122" s="3" t="str">
        <f>HYPERLINK("http://www.otzar.org/book.asp?181658","קיצור דיני טהרה")</f>
        <v>קיצור דיני טהרה</v>
      </c>
    </row>
    <row r="2123" spans="1:5" x14ac:dyDescent="0.2">
      <c r="A2123" t="s">
        <v>3313</v>
      </c>
      <c r="B2123" t="s">
        <v>3314</v>
      </c>
      <c r="C2123" t="s">
        <v>73</v>
      </c>
      <c r="D2123" t="s">
        <v>315</v>
      </c>
      <c r="E2123" s="3" t="str">
        <f>HYPERLINK("http://www.otzar.org/book.asp?193134","קיצור דיני ריבית והיתר עיסקא")</f>
        <v>קיצור דיני ריבית והיתר עיסקא</v>
      </c>
    </row>
    <row r="2124" spans="1:5" x14ac:dyDescent="0.2">
      <c r="A2124" t="s">
        <v>3315</v>
      </c>
      <c r="B2124" t="s">
        <v>3316</v>
      </c>
      <c r="C2124" t="s">
        <v>31</v>
      </c>
      <c r="D2124" t="s">
        <v>12</v>
      </c>
      <c r="E2124" s="3" t="str">
        <f>HYPERLINK("http://www.otzar.org/book.asp?26985","קיצור הלכות משו""ע אדמו""ר הזקן - מקוצר")</f>
        <v>קיצור הלכות משו"ע אדמו"ר הזקן - מקוצר</v>
      </c>
    </row>
    <row r="2125" spans="1:5" x14ac:dyDescent="0.2">
      <c r="A2125" t="s">
        <v>3317</v>
      </c>
      <c r="B2125" t="s">
        <v>3318</v>
      </c>
      <c r="C2125" t="s">
        <v>15</v>
      </c>
      <c r="D2125" t="s">
        <v>12</v>
      </c>
      <c r="E2125" s="3" t="str">
        <f>HYPERLINK("http://www.otzar.org/book.asp?614737","קיצור התניא - שער היחוד והאמונה")</f>
        <v>קיצור התניא - שער היחוד והאמונה</v>
      </c>
    </row>
    <row r="2126" spans="1:5" x14ac:dyDescent="0.2">
      <c r="A2126" t="s">
        <v>3319</v>
      </c>
      <c r="B2126" t="s">
        <v>1780</v>
      </c>
      <c r="C2126" t="s">
        <v>191</v>
      </c>
      <c r="D2126" t="s">
        <v>8</v>
      </c>
      <c r="E2126" s="3" t="str">
        <f>HYPERLINK("http://www.otzar.org/book.asp?162895","קיצור סדר השתלשלות בכתבי חסידות חב""ד")</f>
        <v>קיצור סדר השתלשלות בכתבי חסידות חב"ד</v>
      </c>
    </row>
    <row r="2127" spans="1:5" x14ac:dyDescent="0.2">
      <c r="A2127" t="s">
        <v>3320</v>
      </c>
      <c r="B2127" t="s">
        <v>1098</v>
      </c>
      <c r="C2127" t="s">
        <v>31</v>
      </c>
      <c r="D2127" t="s">
        <v>8</v>
      </c>
      <c r="E2127" s="3" t="str">
        <f>HYPERLINK("http://www.otzar.org/book.asp?26196","קיצור שלחן ערוך עם פסקי שו""ע אדמו""ר הזקן")</f>
        <v>קיצור שלחן ערוך עם פסקי שו"ע אדמו"ר הזקן</v>
      </c>
    </row>
    <row r="2128" spans="1:5" x14ac:dyDescent="0.2">
      <c r="A2128" t="s">
        <v>3321</v>
      </c>
      <c r="B2128" t="s">
        <v>3322</v>
      </c>
      <c r="C2128" t="s">
        <v>148</v>
      </c>
      <c r="D2128" t="s">
        <v>249</v>
      </c>
      <c r="E2128" s="3" t="str">
        <f>HYPERLINK("http://www.otzar.org/book.asp?28714","קיצור שלחן ערוך עם פסקי שו""ע אדמור הזקן - מנוקד")</f>
        <v>קיצור שלחן ערוך עם פסקי שו"ע אדמור הזקן - מנוקד</v>
      </c>
    </row>
    <row r="2129" spans="1:5" x14ac:dyDescent="0.2">
      <c r="A2129" t="s">
        <v>3323</v>
      </c>
      <c r="B2129" t="s">
        <v>3324</v>
      </c>
      <c r="C2129" t="s">
        <v>34</v>
      </c>
      <c r="D2129" t="s">
        <v>3325</v>
      </c>
      <c r="E2129" s="3" t="str">
        <f>HYPERLINK("http://www.otzar.org/book.asp?154706","קיצור שלחן ערוך עם תרגום ספרדית-ב")</f>
        <v>קיצור שלחן ערוך עם תרגום ספרדית-ב</v>
      </c>
    </row>
    <row r="2130" spans="1:5" x14ac:dyDescent="0.2">
      <c r="A2130" t="s">
        <v>3326</v>
      </c>
      <c r="B2130" t="s">
        <v>326</v>
      </c>
      <c r="C2130" t="s">
        <v>327</v>
      </c>
      <c r="D2130" t="s">
        <v>12</v>
      </c>
      <c r="E2130" s="3" t="str">
        <f>HYPERLINK("http://www.otzar.org/book.asp?27767","קיצור תולדות חב""ד - א")</f>
        <v>קיצור תולדות חב"ד - א</v>
      </c>
    </row>
    <row r="2131" spans="1:5" x14ac:dyDescent="0.2">
      <c r="A2131" t="s">
        <v>3327</v>
      </c>
      <c r="B2131" t="s">
        <v>62</v>
      </c>
      <c r="C2131" t="s">
        <v>76</v>
      </c>
      <c r="D2131" t="s">
        <v>19</v>
      </c>
      <c r="E2131" s="3" t="str">
        <f>HYPERLINK("http://www.otzar.org/book.asp?141422","קיצור תניא")</f>
        <v>קיצור תניא</v>
      </c>
    </row>
    <row r="2132" spans="1:5" x14ac:dyDescent="0.2">
      <c r="A2132" t="s">
        <v>3328</v>
      </c>
      <c r="B2132" t="s">
        <v>3329</v>
      </c>
      <c r="C2132" t="s">
        <v>22</v>
      </c>
      <c r="D2132" t="s">
        <v>12</v>
      </c>
      <c r="E2132" s="3" t="str">
        <f>HYPERLINK("http://www.otzar.org/book.asp?141339","קיצורים וביאורים לספר התניא")</f>
        <v>קיצורים וביאורים לספר התניא</v>
      </c>
    </row>
    <row r="2133" spans="1:5" x14ac:dyDescent="0.2">
      <c r="A2133" t="s">
        <v>3330</v>
      </c>
      <c r="B2133" t="s">
        <v>62</v>
      </c>
      <c r="C2133" t="s">
        <v>2493</v>
      </c>
      <c r="D2133" t="s">
        <v>92</v>
      </c>
      <c r="E2133" s="3" t="str">
        <f>HYPERLINK("http://www.otzar.org/book.asp?102209","קיצורים והערות לספר ליקוטי אמרים")</f>
        <v>קיצורים והערות לספר ליקוטי אמרים</v>
      </c>
    </row>
    <row r="2134" spans="1:5" x14ac:dyDescent="0.2">
      <c r="A2134" t="s">
        <v>3331</v>
      </c>
      <c r="B2134" t="s">
        <v>3332</v>
      </c>
      <c r="C2134" t="s">
        <v>350</v>
      </c>
      <c r="D2134" t="s">
        <v>8</v>
      </c>
      <c r="E2134" s="3" t="str">
        <f>HYPERLINK("http://www.otzar.org/book.asp?607695","קליאמקע")</f>
        <v>קליאמקע</v>
      </c>
    </row>
    <row r="2135" spans="1:5" x14ac:dyDescent="0.2">
      <c r="A2135" t="s">
        <v>3333</v>
      </c>
      <c r="B2135" t="s">
        <v>1626</v>
      </c>
      <c r="C2135" t="s">
        <v>39</v>
      </c>
      <c r="D2135" t="s">
        <v>8</v>
      </c>
      <c r="E2135" s="3" t="str">
        <f>HYPERLINK("http://www.otzar.org/book.asp?171730","קנה לך חבר")</f>
        <v>קנה לך חבר</v>
      </c>
    </row>
    <row r="2136" spans="1:5" x14ac:dyDescent="0.2">
      <c r="A2136" t="s">
        <v>3334</v>
      </c>
      <c r="B2136" t="s">
        <v>30</v>
      </c>
      <c r="C2136" t="s">
        <v>327</v>
      </c>
      <c r="D2136" t="s">
        <v>40</v>
      </c>
      <c r="E2136" s="3" t="str">
        <f>HYPERLINK("http://www.otzar.org/book.asp?26882","קראתי ואין עונה - 2 כר'")</f>
        <v>קראתי ואין עונה - 2 כר'</v>
      </c>
    </row>
    <row r="2137" spans="1:5" x14ac:dyDescent="0.2">
      <c r="A2137" t="s">
        <v>3335</v>
      </c>
      <c r="B2137" t="s">
        <v>3336</v>
      </c>
      <c r="C2137" t="s">
        <v>3337</v>
      </c>
      <c r="D2137" t="s">
        <v>1763</v>
      </c>
      <c r="E2137" s="3" t="str">
        <f>HYPERLINK("http://www.otzar.org/book.asp?85009","קרבן מנחה")</f>
        <v>קרבן מנחה</v>
      </c>
    </row>
    <row r="2138" spans="1:5" x14ac:dyDescent="0.2">
      <c r="A2138" t="s">
        <v>3338</v>
      </c>
      <c r="B2138" t="s">
        <v>3339</v>
      </c>
      <c r="C2138" t="s">
        <v>119</v>
      </c>
      <c r="D2138" t="s">
        <v>40</v>
      </c>
      <c r="E2138" s="3" t="str">
        <f>HYPERLINK("http://www.otzar.org/book.asp?143364","קרוב רחוק")</f>
        <v>קרוב רחוק</v>
      </c>
    </row>
    <row r="2139" spans="1:5" x14ac:dyDescent="0.2">
      <c r="A2139" t="s">
        <v>3340</v>
      </c>
      <c r="B2139" t="s">
        <v>108</v>
      </c>
      <c r="C2139" t="s">
        <v>301</v>
      </c>
      <c r="D2139" t="s">
        <v>112</v>
      </c>
      <c r="E2139" s="3" t="str">
        <f>HYPERLINK("http://www.otzar.org/book.asp?161300","קריה נאמנה")</f>
        <v>קריה נאמנה</v>
      </c>
    </row>
    <row r="2140" spans="1:5" x14ac:dyDescent="0.2">
      <c r="A2140" t="s">
        <v>3341</v>
      </c>
      <c r="B2140" t="s">
        <v>2945</v>
      </c>
      <c r="C2140" t="s">
        <v>49</v>
      </c>
      <c r="D2140" t="s">
        <v>116</v>
      </c>
      <c r="E2140" s="3" t="str">
        <f>HYPERLINK("http://www.otzar.org/book.asp?607861","קרית מלך על הרמב""ם")</f>
        <v>קרית מלך על הרמב"ם</v>
      </c>
    </row>
    <row r="2141" spans="1:5" x14ac:dyDescent="0.2">
      <c r="A2141" t="s">
        <v>3342</v>
      </c>
      <c r="B2141" t="s">
        <v>1128</v>
      </c>
      <c r="C2141" t="s">
        <v>191</v>
      </c>
      <c r="D2141" t="s">
        <v>116</v>
      </c>
      <c r="E2141" s="3" t="str">
        <f>HYPERLINK("http://www.otzar.org/book.asp?85016","קרית מלך רב - 23 כר'")</f>
        <v>קרית מלך רב - 23 כר'</v>
      </c>
    </row>
    <row r="2142" spans="1:5" x14ac:dyDescent="0.2">
      <c r="A2142" t="s">
        <v>3343</v>
      </c>
      <c r="B2142" t="s">
        <v>3344</v>
      </c>
      <c r="C2142" t="s">
        <v>65</v>
      </c>
      <c r="D2142" t="s">
        <v>3345</v>
      </c>
      <c r="E2142" s="3" t="str">
        <f>HYPERLINK("http://www.otzar.org/book.asp?27726","קרית מלך רב - הדרנים על הרמב""ם")</f>
        <v>קרית מלך רב - הדרנים על הרמב"ם</v>
      </c>
    </row>
    <row r="2143" spans="1:5" x14ac:dyDescent="0.2">
      <c r="A2143" t="s">
        <v>3346</v>
      </c>
      <c r="B2143" t="s">
        <v>1128</v>
      </c>
      <c r="C2143" t="s">
        <v>65</v>
      </c>
      <c r="D2143" t="s">
        <v>116</v>
      </c>
      <c r="E2143" s="3" t="str">
        <f>HYPERLINK("http://www.otzar.org/book.asp?27356","קרית מלך - 2 כר'")</f>
        <v>קרית מלך - 2 כר'</v>
      </c>
    </row>
    <row r="2144" spans="1:5" x14ac:dyDescent="0.2">
      <c r="A2144" t="s">
        <v>3347</v>
      </c>
      <c r="B2144" t="s">
        <v>3348</v>
      </c>
      <c r="C2144" t="s">
        <v>1756</v>
      </c>
      <c r="D2144" t="s">
        <v>12</v>
      </c>
      <c r="E2144" s="3" t="str">
        <f>HYPERLINK("http://www.otzar.org/book.asp?146574","ר""ד בעת הסעודות - 2 כר'")</f>
        <v>ר"ד בעת הסעודות - 2 כר'</v>
      </c>
    </row>
    <row r="2145" spans="1:5" x14ac:dyDescent="0.2">
      <c r="A2145" t="s">
        <v>3349</v>
      </c>
      <c r="B2145" t="s">
        <v>3350</v>
      </c>
      <c r="C2145" t="s">
        <v>161</v>
      </c>
      <c r="D2145" t="s">
        <v>8</v>
      </c>
      <c r="E2145" s="3" t="str">
        <f>HYPERLINK("http://www.otzar.org/book.asp?26982","ר' אברהם אבא הרופא ע""ה זעליגזאן - 2 כר'")</f>
        <v>ר' אברהם אבא הרופא ע"ה זעליגזאן - 2 כר'</v>
      </c>
    </row>
    <row r="2146" spans="1:5" x14ac:dyDescent="0.2">
      <c r="A2146" t="s">
        <v>3351</v>
      </c>
      <c r="B2146" t="s">
        <v>3352</v>
      </c>
      <c r="C2146" t="s">
        <v>15</v>
      </c>
      <c r="D2146" t="s">
        <v>166</v>
      </c>
      <c r="E2146" s="3" t="str">
        <f>HYPERLINK("http://www.otzar.org/book.asp?196288","ר' אברהם הערש")</f>
        <v>ר' אברהם הערש</v>
      </c>
    </row>
    <row r="2147" spans="1:5" x14ac:dyDescent="0.2">
      <c r="A2147" t="s">
        <v>3353</v>
      </c>
      <c r="B2147" t="s">
        <v>3354</v>
      </c>
      <c r="C2147" t="s">
        <v>15</v>
      </c>
      <c r="D2147" t="s">
        <v>19</v>
      </c>
      <c r="E2147" s="3" t="str">
        <f>HYPERLINK("http://www.otzar.org/book.asp?607978","ר' הלל מפאריטש - סיפורים")</f>
        <v>ר' הלל מפאריטש - סיפורים</v>
      </c>
    </row>
    <row r="2148" spans="1:5" x14ac:dyDescent="0.2">
      <c r="A2148" t="s">
        <v>3355</v>
      </c>
      <c r="B2148" t="s">
        <v>3356</v>
      </c>
      <c r="C2148" t="s">
        <v>327</v>
      </c>
      <c r="D2148" t="s">
        <v>12</v>
      </c>
      <c r="E2148" s="3" t="str">
        <f>HYPERLINK("http://www.otzar.org/book.asp?28010","ר' יוסף ע""ה קלורמן")</f>
        <v>ר' יוסף ע"ה קלורמן</v>
      </c>
    </row>
    <row r="2149" spans="1:5" x14ac:dyDescent="0.2">
      <c r="A2149" t="s">
        <v>3357</v>
      </c>
      <c r="B2149" t="s">
        <v>3358</v>
      </c>
      <c r="C2149" t="s">
        <v>358</v>
      </c>
      <c r="D2149" t="s">
        <v>98</v>
      </c>
      <c r="E2149" s="3" t="str">
        <f>HYPERLINK("http://www.otzar.org/book.asp?141414","ר' ישראל בעל שם טוב ותנועת החסידות")</f>
        <v>ר' ישראל בעל שם טוב ותנועת החסידות</v>
      </c>
    </row>
    <row r="2150" spans="1:5" x14ac:dyDescent="0.2">
      <c r="A2150" t="s">
        <v>3359</v>
      </c>
      <c r="B2150" t="s">
        <v>105</v>
      </c>
      <c r="C2150" t="s">
        <v>76</v>
      </c>
      <c r="D2150" t="s">
        <v>19</v>
      </c>
      <c r="E2150" s="3" t="str">
        <f>HYPERLINK("http://www.otzar.org/book.asp?146377","ר' לוי יצחק זצ""ל שניאורסון זי""ע")</f>
        <v>ר' לוי יצחק זצ"ל שניאורסון זי"ע</v>
      </c>
    </row>
    <row r="2151" spans="1:5" x14ac:dyDescent="0.2">
      <c r="A2151" t="s">
        <v>3360</v>
      </c>
      <c r="B2151" t="s">
        <v>3361</v>
      </c>
      <c r="C2151" t="s">
        <v>213</v>
      </c>
      <c r="D2151" t="s">
        <v>12</v>
      </c>
      <c r="E2151" s="3" t="str">
        <f>HYPERLINK("http://www.otzar.org/book.asp?27085","ר' מענדל")</f>
        <v>ר' מענדל</v>
      </c>
    </row>
    <row r="2152" spans="1:5" x14ac:dyDescent="0.2">
      <c r="A2152" t="s">
        <v>3362</v>
      </c>
      <c r="B2152" t="s">
        <v>3363</v>
      </c>
      <c r="C2152" t="s">
        <v>18</v>
      </c>
      <c r="D2152" t="s">
        <v>8</v>
      </c>
      <c r="E2152" s="3" t="str">
        <f>HYPERLINK("http://www.otzar.org/book.asp?28012","ר' שילם - 2 כר'")</f>
        <v>ר' שילם - 2 כר'</v>
      </c>
    </row>
    <row r="2153" spans="1:5" x14ac:dyDescent="0.2">
      <c r="A2153" t="s">
        <v>3364</v>
      </c>
      <c r="B2153" t="s">
        <v>33</v>
      </c>
      <c r="C2153" t="s">
        <v>15</v>
      </c>
      <c r="D2153" t="s">
        <v>12</v>
      </c>
      <c r="E2153" s="3" t="str">
        <f>HYPERLINK("http://www.otzar.org/book.asp?600294","ר' שלום")</f>
        <v>ר' שלום</v>
      </c>
    </row>
    <row r="2154" spans="1:5" x14ac:dyDescent="0.2">
      <c r="A2154" t="s">
        <v>3365</v>
      </c>
      <c r="B2154" t="s">
        <v>3365</v>
      </c>
      <c r="C2154" t="s">
        <v>76</v>
      </c>
      <c r="D2154" t="s">
        <v>19</v>
      </c>
      <c r="E2154" s="3" t="str">
        <f>HYPERLINK("http://www.otzar.org/book.asp?145786","ר' שניאור זלמן מלאדי")</f>
        <v>ר' שניאור זלמן מלאדי</v>
      </c>
    </row>
    <row r="2155" spans="1:5" x14ac:dyDescent="0.2">
      <c r="A2155" t="s">
        <v>3366</v>
      </c>
      <c r="B2155" t="s">
        <v>3367</v>
      </c>
      <c r="C2155" t="s">
        <v>15</v>
      </c>
      <c r="D2155" t="s">
        <v>116</v>
      </c>
      <c r="E2155" s="3" t="str">
        <f>HYPERLINK("http://www.otzar.org/book.asp?189096","ראה מעשה ונזכר תלמוד")</f>
        <v>ראה מעשה ונזכר תלמוד</v>
      </c>
    </row>
    <row r="2156" spans="1:5" x14ac:dyDescent="0.2">
      <c r="A2156" t="s">
        <v>3368</v>
      </c>
      <c r="B2156" t="s">
        <v>1382</v>
      </c>
      <c r="C2156" t="s">
        <v>152</v>
      </c>
      <c r="D2156" t="s">
        <v>40</v>
      </c>
      <c r="E2156" s="3" t="str">
        <f>HYPERLINK("http://www.otzar.org/book.asp?26983","ראש בני ישראל")</f>
        <v>ראש בני ישראל</v>
      </c>
    </row>
    <row r="2157" spans="1:5" x14ac:dyDescent="0.2">
      <c r="A2157" t="s">
        <v>3369</v>
      </c>
      <c r="B2157" t="s">
        <v>1074</v>
      </c>
      <c r="C2157" t="s">
        <v>76</v>
      </c>
      <c r="D2157" t="s">
        <v>12</v>
      </c>
      <c r="E2157" s="3" t="str">
        <f>HYPERLINK("http://www.otzar.org/book.asp?146412","ראש חודש כסלו")</f>
        <v>ראש חודש כסלו</v>
      </c>
    </row>
    <row r="2158" spans="1:5" x14ac:dyDescent="0.2">
      <c r="A2158" t="s">
        <v>3370</v>
      </c>
      <c r="B2158" t="s">
        <v>217</v>
      </c>
      <c r="C2158" t="s">
        <v>76</v>
      </c>
      <c r="D2158" t="s">
        <v>71</v>
      </c>
      <c r="E2158" s="3" t="str">
        <f>HYPERLINK("http://www.otzar.org/book.asp?146542","ראשי תיבות וקיצורים בספרות החסידות והקבלה")</f>
        <v>ראשי תיבות וקיצורים בספרות החסידות והקבלה</v>
      </c>
    </row>
    <row r="2159" spans="1:5" x14ac:dyDescent="0.2">
      <c r="A2159" t="s">
        <v>3371</v>
      </c>
      <c r="B2159" t="s">
        <v>1268</v>
      </c>
      <c r="C2159" t="s">
        <v>165</v>
      </c>
      <c r="D2159" t="s">
        <v>375</v>
      </c>
      <c r="E2159" s="3" t="str">
        <f>HYPERLINK("http://www.otzar.org/book.asp?141543","רב להושיע - 3 כר'")</f>
        <v>רב להושיע - 3 כר'</v>
      </c>
    </row>
    <row r="2160" spans="1:5" x14ac:dyDescent="0.2">
      <c r="A2160" t="s">
        <v>3372</v>
      </c>
      <c r="B2160" t="s">
        <v>303</v>
      </c>
      <c r="C2160" t="s">
        <v>350</v>
      </c>
      <c r="D2160" t="s">
        <v>12</v>
      </c>
      <c r="E2160" s="3" t="str">
        <f>HYPERLINK("http://www.otzar.org/book.asp?607843","רב - מורה דרך")</f>
        <v>רב - מורה דרך</v>
      </c>
    </row>
    <row r="2161" spans="1:5" x14ac:dyDescent="0.2">
      <c r="A2161" t="s">
        <v>3373</v>
      </c>
      <c r="B2161" t="s">
        <v>3374</v>
      </c>
      <c r="C2161" t="s">
        <v>327</v>
      </c>
      <c r="D2161" t="s">
        <v>12</v>
      </c>
      <c r="E2161" s="3" t="str">
        <f>HYPERLINK("http://www.otzar.org/book.asp?27755","רבות מופתי")</f>
        <v>רבות מופתי</v>
      </c>
    </row>
    <row r="2162" spans="1:5" x14ac:dyDescent="0.2">
      <c r="A2162" t="s">
        <v>3375</v>
      </c>
      <c r="B2162" t="s">
        <v>3376</v>
      </c>
      <c r="C2162" t="s">
        <v>52</v>
      </c>
      <c r="D2162" t="s">
        <v>40</v>
      </c>
      <c r="E2162" s="3" t="str">
        <f>HYPERLINK("http://www.otzar.org/book.asp?27647","רבותינו נשיאינו ומדינת אשכנז")</f>
        <v>רבותינו נשיאינו ומדינת אשכנז</v>
      </c>
    </row>
    <row r="2163" spans="1:5" x14ac:dyDescent="0.2">
      <c r="A2163" t="s">
        <v>3377</v>
      </c>
      <c r="B2163" t="s">
        <v>3378</v>
      </c>
      <c r="C2163" t="s">
        <v>31</v>
      </c>
      <c r="D2163" t="s">
        <v>12</v>
      </c>
      <c r="E2163" s="3" t="str">
        <f>HYPERLINK("http://www.otzar.org/book.asp?27441","רבותינו נשיאינו - 6 כר'")</f>
        <v>רבותינו נשיאינו - 6 כר'</v>
      </c>
    </row>
    <row r="2164" spans="1:5" x14ac:dyDescent="0.2">
      <c r="A2164" t="s">
        <v>3379</v>
      </c>
      <c r="B2164" t="s">
        <v>3380</v>
      </c>
      <c r="C2164" t="s">
        <v>1769</v>
      </c>
      <c r="D2164" t="s">
        <v>504</v>
      </c>
      <c r="E2164" s="3" t="str">
        <f>HYPERLINK("http://www.otzar.org/book.asp?100576","רבי ישראל בעל שם טוב")</f>
        <v>רבי ישראל בעל שם טוב</v>
      </c>
    </row>
    <row r="2165" spans="1:5" x14ac:dyDescent="0.2">
      <c r="A2165" t="s">
        <v>3379</v>
      </c>
      <c r="B2165" t="s">
        <v>151</v>
      </c>
      <c r="C2165" t="s">
        <v>358</v>
      </c>
      <c r="D2165" t="s">
        <v>8</v>
      </c>
      <c r="E2165" s="3" t="str">
        <f>HYPERLINK("http://www.otzar.org/book.asp?191900","רבי ישראל בעל שם טוב")</f>
        <v>רבי ישראל בעל שם טוב</v>
      </c>
    </row>
    <row r="2166" spans="1:5" x14ac:dyDescent="0.2">
      <c r="A2166" t="s">
        <v>3379</v>
      </c>
      <c r="B2166" t="s">
        <v>842</v>
      </c>
      <c r="C2166" t="s">
        <v>358</v>
      </c>
      <c r="D2166" t="s">
        <v>98</v>
      </c>
      <c r="E2166" s="3" t="str">
        <f>HYPERLINK("http://www.otzar.org/book.asp?141544","רבי ישראל בעל שם טוב")</f>
        <v>רבי ישראל בעל שם טוב</v>
      </c>
    </row>
    <row r="2167" spans="1:5" x14ac:dyDescent="0.2">
      <c r="A2167" t="s">
        <v>3381</v>
      </c>
      <c r="B2167" t="s">
        <v>3382</v>
      </c>
      <c r="C2167" t="s">
        <v>76</v>
      </c>
      <c r="D2167" t="s">
        <v>12</v>
      </c>
      <c r="E2167" s="3" t="str">
        <f>HYPERLINK("http://www.otzar.org/book.asp?146502","רבי לוי יצחק ע""ה שניאורסאהן")</f>
        <v>רבי לוי יצחק ע"ה שניאורסאהן</v>
      </c>
    </row>
    <row r="2168" spans="1:5" x14ac:dyDescent="0.2">
      <c r="A2168" t="s">
        <v>3383</v>
      </c>
      <c r="B2168" t="s">
        <v>687</v>
      </c>
      <c r="C2168" t="s">
        <v>191</v>
      </c>
      <c r="D2168" t="s">
        <v>208</v>
      </c>
      <c r="E2168" s="3" t="str">
        <f>HYPERLINK("http://www.otzar.org/book.asp?608417","רבי מאיר שלמה הלוי ינובסקי")</f>
        <v>רבי מאיר שלמה הלוי ינובסקי</v>
      </c>
    </row>
    <row r="2169" spans="1:5" x14ac:dyDescent="0.2">
      <c r="A2169" t="s">
        <v>3384</v>
      </c>
      <c r="B2169" t="s">
        <v>687</v>
      </c>
      <c r="C2169" t="s">
        <v>191</v>
      </c>
      <c r="D2169" t="s">
        <v>8</v>
      </c>
      <c r="E2169" s="3" t="str">
        <f>HYPERLINK("http://www.otzar.org/book.asp?608419","רבי מיכאל דער אלעטר")</f>
        <v>רבי מיכאל דער אלעטר</v>
      </c>
    </row>
    <row r="2170" spans="1:5" x14ac:dyDescent="0.2">
      <c r="A2170" t="s">
        <v>3385</v>
      </c>
      <c r="B2170" t="s">
        <v>3386</v>
      </c>
      <c r="C2170" t="s">
        <v>165</v>
      </c>
      <c r="D2170" t="s">
        <v>12</v>
      </c>
      <c r="E2170" s="3" t="str">
        <f>HYPERLINK("http://www.otzar.org/book.asp?27768","רבן של ישראל")</f>
        <v>רבן של ישראל</v>
      </c>
    </row>
    <row r="2171" spans="1:5" x14ac:dyDescent="0.2">
      <c r="A2171" t="s">
        <v>3385</v>
      </c>
      <c r="B2171" t="s">
        <v>3387</v>
      </c>
      <c r="C2171" t="s">
        <v>155</v>
      </c>
      <c r="D2171" t="s">
        <v>71</v>
      </c>
      <c r="E2171" s="3" t="str">
        <f>HYPERLINK("http://www.otzar.org/book.asp?27607","רבן של ישראל")</f>
        <v>רבן של ישראל</v>
      </c>
    </row>
    <row r="2172" spans="1:5" x14ac:dyDescent="0.2">
      <c r="A2172" t="s">
        <v>3388</v>
      </c>
      <c r="B2172" t="s">
        <v>3389</v>
      </c>
      <c r="C2172" t="s">
        <v>34</v>
      </c>
      <c r="D2172" t="s">
        <v>332</v>
      </c>
      <c r="E2172" s="3" t="str">
        <f>HYPERLINK("http://www.otzar.org/book.asp?153371","רוחו בקרבנו")</f>
        <v>רוחו בקרבנו</v>
      </c>
    </row>
    <row r="2173" spans="1:5" x14ac:dyDescent="0.2">
      <c r="A2173" t="s">
        <v>3390</v>
      </c>
      <c r="B2173" t="s">
        <v>3391</v>
      </c>
      <c r="C2173" t="s">
        <v>18</v>
      </c>
      <c r="D2173" t="s">
        <v>3099</v>
      </c>
      <c r="E2173" s="3" t="str">
        <f>HYPERLINK("http://www.otzar.org/book.asp?27642","רוסטוב על נהר דון")</f>
        <v>רוסטוב על נהר דון</v>
      </c>
    </row>
    <row r="2174" spans="1:5" x14ac:dyDescent="0.2">
      <c r="A2174" t="s">
        <v>3392</v>
      </c>
      <c r="B2174" t="s">
        <v>3393</v>
      </c>
      <c r="C2174" t="s">
        <v>76</v>
      </c>
      <c r="D2174" t="s">
        <v>8</v>
      </c>
      <c r="E2174" s="3" t="str">
        <f>HYPERLINK("http://www.otzar.org/book.asp?145929","רועה אבן ישראל - א")</f>
        <v>רועה אבן ישראל - א</v>
      </c>
    </row>
    <row r="2175" spans="1:5" x14ac:dyDescent="0.2">
      <c r="A2175" t="s">
        <v>3394</v>
      </c>
      <c r="B2175" t="s">
        <v>3395</v>
      </c>
      <c r="C2175" t="s">
        <v>15</v>
      </c>
      <c r="D2175" t="s">
        <v>3396</v>
      </c>
      <c r="E2175" s="3" t="str">
        <f>HYPERLINK("http://www.otzar.org/book.asp?195728","רזא דשבת")</f>
        <v>רזא דשבת</v>
      </c>
    </row>
    <row r="2176" spans="1:5" x14ac:dyDescent="0.2">
      <c r="A2176" t="s">
        <v>3397</v>
      </c>
      <c r="B2176" t="s">
        <v>157</v>
      </c>
      <c r="C2176" t="s">
        <v>213</v>
      </c>
      <c r="D2176" t="s">
        <v>12</v>
      </c>
      <c r="E2176" s="3" t="str">
        <f>HYPERLINK("http://www.otzar.org/book.asp?27294","רזא דשבתא")</f>
        <v>רזא דשבתא</v>
      </c>
    </row>
    <row r="2177" spans="1:5" x14ac:dyDescent="0.2">
      <c r="A2177" t="s">
        <v>3398</v>
      </c>
      <c r="B2177" t="s">
        <v>3399</v>
      </c>
      <c r="C2177" t="s">
        <v>86</v>
      </c>
      <c r="D2177" t="s">
        <v>19</v>
      </c>
      <c r="E2177" s="3" t="str">
        <f>HYPERLINK("http://www.otzar.org/book.asp?143250","רזין דאורייתא")</f>
        <v>רזין דאורייתא</v>
      </c>
    </row>
    <row r="2178" spans="1:5" x14ac:dyDescent="0.2">
      <c r="A2178" t="s">
        <v>3400</v>
      </c>
      <c r="B2178" t="s">
        <v>108</v>
      </c>
      <c r="C2178" t="s">
        <v>301</v>
      </c>
      <c r="D2178" t="s">
        <v>315</v>
      </c>
      <c r="E2178" s="3" t="str">
        <f>HYPERLINK("http://www.otzar.org/book.asp?27730","רחובות הנהר - 5 כר'")</f>
        <v>רחובות הנהר - 5 כר'</v>
      </c>
    </row>
    <row r="2179" spans="1:5" x14ac:dyDescent="0.2">
      <c r="A2179" t="s">
        <v>3401</v>
      </c>
      <c r="B2179" t="s">
        <v>108</v>
      </c>
      <c r="C2179" t="s">
        <v>201</v>
      </c>
      <c r="D2179" t="s">
        <v>8</v>
      </c>
      <c r="E2179" s="3" t="str">
        <f>HYPERLINK("http://www.otzar.org/book.asp?28781","רישומה של שנה")</f>
        <v>רישומה של שנה</v>
      </c>
    </row>
    <row r="2180" spans="1:5" x14ac:dyDescent="0.2">
      <c r="A2180" t="s">
        <v>3402</v>
      </c>
      <c r="B2180" t="s">
        <v>566</v>
      </c>
      <c r="C2180" t="s">
        <v>148</v>
      </c>
      <c r="D2180" t="s">
        <v>579</v>
      </c>
      <c r="E2180" s="3" t="str">
        <f>HYPERLINK("http://www.otzar.org/book.asp?28802","רמ""ח אותיות")</f>
        <v>רמ"ח אותיות</v>
      </c>
    </row>
    <row r="2181" spans="1:5" x14ac:dyDescent="0.2">
      <c r="A2181" t="s">
        <v>3403</v>
      </c>
      <c r="B2181" t="s">
        <v>3404</v>
      </c>
      <c r="C2181" t="s">
        <v>183</v>
      </c>
      <c r="D2181" t="s">
        <v>8</v>
      </c>
      <c r="E2181" s="3" t="str">
        <f>HYPERLINK("http://www.otzar.org/book.asp?26976","רמב""ם הערוך - 8 כר'")</f>
        <v>רמב"ם הערוך - 8 כר'</v>
      </c>
    </row>
    <row r="2182" spans="1:5" x14ac:dyDescent="0.2">
      <c r="A2182" t="s">
        <v>3405</v>
      </c>
      <c r="B2182" t="s">
        <v>3406</v>
      </c>
      <c r="C2182" t="s">
        <v>165</v>
      </c>
      <c r="D2182" t="s">
        <v>8</v>
      </c>
      <c r="E2182" s="3" t="str">
        <f>HYPERLINK("http://www.otzar.org/book.asp?141630","רמב""ם מבואר - הלכות תלמוד תורה")</f>
        <v>רמב"ם מבואר - הלכות תלמוד תורה</v>
      </c>
    </row>
    <row r="2183" spans="1:5" x14ac:dyDescent="0.2">
      <c r="A2183" t="s">
        <v>3407</v>
      </c>
      <c r="B2183" t="s">
        <v>108</v>
      </c>
      <c r="C2183" t="s">
        <v>86</v>
      </c>
      <c r="D2183" t="s">
        <v>12</v>
      </c>
      <c r="E2183" s="3" t="str">
        <f>HYPERLINK("http://www.otzar.org/book.asp?160610","רעיא מהימנא")</f>
        <v>רעיא מהימנא</v>
      </c>
    </row>
    <row r="2184" spans="1:5" x14ac:dyDescent="0.2">
      <c r="A2184" t="s">
        <v>3408</v>
      </c>
      <c r="B2184" t="s">
        <v>3409</v>
      </c>
      <c r="C2184" t="s">
        <v>58</v>
      </c>
      <c r="D2184" t="s">
        <v>8</v>
      </c>
      <c r="E2184" s="3" t="str">
        <f>HYPERLINK("http://www.otzar.org/book.asp?141368","רעיון החודש")</f>
        <v>רעיון החודש</v>
      </c>
    </row>
    <row r="2185" spans="1:5" x14ac:dyDescent="0.2">
      <c r="A2185" t="s">
        <v>3410</v>
      </c>
      <c r="B2185" t="s">
        <v>3411</v>
      </c>
      <c r="C2185" t="s">
        <v>31</v>
      </c>
      <c r="D2185" t="s">
        <v>12</v>
      </c>
      <c r="E2185" s="3" t="str">
        <f>HYPERLINK("http://www.otzar.org/book.asp?140823","רפואה שלמה")</f>
        <v>רפואה שלמה</v>
      </c>
    </row>
    <row r="2186" spans="1:5" x14ac:dyDescent="0.2">
      <c r="A2186" t="s">
        <v>3412</v>
      </c>
      <c r="E2186" s="3" t="str">
        <f>HYPERLINK("http://www.otzar.org/book.asp?629100","רשימה מיחידות כ""ק אדמו""ר מסדיגורא שליט""א אצל כ""ק אדמו""ר שליט""א")</f>
        <v>רשימה מיחידות כ"ק אדמו"ר מסדיגורא שליט"א אצל כ"ק אדמו"ר שליט"א</v>
      </c>
    </row>
    <row r="2187" spans="1:5" x14ac:dyDescent="0.2">
      <c r="A2187" t="s">
        <v>3413</v>
      </c>
      <c r="B2187" t="s">
        <v>3414</v>
      </c>
      <c r="C2187" t="s">
        <v>58</v>
      </c>
      <c r="D2187" t="s">
        <v>8</v>
      </c>
      <c r="E2187" s="3" t="str">
        <f>HYPERLINK("http://www.otzar.org/book.asp?147692","רשימות דברים - 4 כר'")</f>
        <v>רשימות דברים - 4 כר'</v>
      </c>
    </row>
    <row r="2188" spans="1:5" x14ac:dyDescent="0.2">
      <c r="A2188" t="s">
        <v>3415</v>
      </c>
      <c r="B2188" t="s">
        <v>3416</v>
      </c>
      <c r="C2188" t="s">
        <v>183</v>
      </c>
      <c r="D2188" t="s">
        <v>8</v>
      </c>
      <c r="E2188" s="3" t="str">
        <f>HYPERLINK("http://www.otzar.org/book.asp?26889","רשימות הרב""ש")</f>
        <v>רשימות הרב"ש</v>
      </c>
    </row>
    <row r="2189" spans="1:5" x14ac:dyDescent="0.2">
      <c r="A2189" t="s">
        <v>3417</v>
      </c>
      <c r="B2189" t="s">
        <v>30</v>
      </c>
      <c r="C2189" t="s">
        <v>276</v>
      </c>
      <c r="D2189" t="s">
        <v>76</v>
      </c>
      <c r="E2189" s="3" t="str">
        <f>HYPERLINK("http://www.otzar.org/book.asp?26485","רשימות חתונה")</f>
        <v>רשימות חתונה</v>
      </c>
    </row>
    <row r="2190" spans="1:5" x14ac:dyDescent="0.2">
      <c r="A2190" t="s">
        <v>3418</v>
      </c>
      <c r="B2190" t="s">
        <v>3419</v>
      </c>
      <c r="C2190" t="s">
        <v>54</v>
      </c>
      <c r="D2190" t="s">
        <v>12</v>
      </c>
      <c r="E2190" s="3" t="str">
        <f>HYPERLINK("http://www.otzar.org/book.asp?169951","רשימות סיפורים - 2 כר'")</f>
        <v>רשימות סיפורים - 2 כר'</v>
      </c>
    </row>
    <row r="2191" spans="1:5" x14ac:dyDescent="0.2">
      <c r="A2191" t="s">
        <v>3420</v>
      </c>
      <c r="B2191" t="s">
        <v>3421</v>
      </c>
      <c r="C2191" t="s">
        <v>305</v>
      </c>
      <c r="D2191" t="s">
        <v>323</v>
      </c>
      <c r="E2191" s="3" t="str">
        <f>HYPERLINK("http://www.otzar.org/book.asp?145962","רשימות - חלק ה")</f>
        <v>רשימות - חלק ה</v>
      </c>
    </row>
    <row r="2192" spans="1:5" x14ac:dyDescent="0.2">
      <c r="A2192" t="s">
        <v>3422</v>
      </c>
      <c r="B2192" t="s">
        <v>3423</v>
      </c>
      <c r="C2192" t="s">
        <v>60</v>
      </c>
      <c r="D2192" t="s">
        <v>40</v>
      </c>
      <c r="E2192" s="3" t="str">
        <f>HYPERLINK("http://www.otzar.org/book.asp?146380","רשימות")</f>
        <v>רשימות</v>
      </c>
    </row>
    <row r="2193" spans="1:5" x14ac:dyDescent="0.2">
      <c r="A2193" t="s">
        <v>3424</v>
      </c>
      <c r="B2193" t="s">
        <v>38</v>
      </c>
      <c r="C2193" t="s">
        <v>191</v>
      </c>
      <c r="D2193" t="s">
        <v>8</v>
      </c>
      <c r="E2193" s="3" t="str">
        <f>HYPERLINK("http://www.otzar.org/book.asp?160597","רשימות - 4 כר'")</f>
        <v>רשימות - 4 כר'</v>
      </c>
    </row>
    <row r="2194" spans="1:5" x14ac:dyDescent="0.2">
      <c r="A2194" t="s">
        <v>3425</v>
      </c>
      <c r="B2194" t="s">
        <v>30</v>
      </c>
      <c r="C2194" t="s">
        <v>327</v>
      </c>
      <c r="D2194" t="s">
        <v>8</v>
      </c>
      <c r="E2194" s="3" t="str">
        <f>HYPERLINK("http://www.otzar.org/book.asp?26614","רשימות - 5 כר'")</f>
        <v>רשימות - 5 כר'</v>
      </c>
    </row>
    <row r="2195" spans="1:5" x14ac:dyDescent="0.2">
      <c r="A2195" t="s">
        <v>3426</v>
      </c>
      <c r="B2195" t="s">
        <v>62</v>
      </c>
      <c r="C2195" t="s">
        <v>3427</v>
      </c>
      <c r="D2195" t="s">
        <v>8</v>
      </c>
      <c r="E2195" s="3" t="str">
        <f>HYPERLINK("http://www.otzar.org/book.asp?143286","רשימות - על מגילת איכה")</f>
        <v>רשימות - על מגילת איכה</v>
      </c>
    </row>
    <row r="2196" spans="1:5" x14ac:dyDescent="0.2">
      <c r="A2196" t="s">
        <v>3428</v>
      </c>
      <c r="B2196" t="s">
        <v>38</v>
      </c>
      <c r="C2196" t="s">
        <v>11</v>
      </c>
      <c r="D2196" t="s">
        <v>8</v>
      </c>
      <c r="E2196" s="3" t="str">
        <f>HYPERLINK("http://www.otzar.org/book.asp?164336","רשימת אדמו""ר כ""ק יוסף יצחק יא-יג ניסן תרנ""ג")</f>
        <v>רשימת אדמו"ר כ"ק יוסף יצחק יא-יג ניסן תרנ"ג</v>
      </c>
    </row>
    <row r="2197" spans="1:5" x14ac:dyDescent="0.2">
      <c r="A2197" t="s">
        <v>3429</v>
      </c>
      <c r="B2197" t="s">
        <v>38</v>
      </c>
      <c r="C2197" t="s">
        <v>54</v>
      </c>
      <c r="D2197" t="s">
        <v>8</v>
      </c>
      <c r="E2197" s="3" t="str">
        <f>HYPERLINK("http://www.otzar.org/book.asp?614750","רשימת אדמו""ר כ""ק יוסף יצחק שנת תערב")</f>
        <v>רשימת אדמו"ר כ"ק יוסף יצחק שנת תערב</v>
      </c>
    </row>
    <row r="2198" spans="1:5" x14ac:dyDescent="0.2">
      <c r="A2198" t="s">
        <v>3430</v>
      </c>
      <c r="B2198" t="s">
        <v>30</v>
      </c>
      <c r="C2198" t="s">
        <v>191</v>
      </c>
      <c r="D2198" t="s">
        <v>19</v>
      </c>
      <c r="E2198" s="3" t="str">
        <f>HYPERLINK("http://www.otzar.org/book.asp?150923","רשימת דברי הכ""ק אדמו""ר")</f>
        <v>רשימת דברי הכ"ק אדמו"ר</v>
      </c>
    </row>
    <row r="2199" spans="1:5" x14ac:dyDescent="0.2">
      <c r="A2199" t="s">
        <v>3431</v>
      </c>
      <c r="B2199" t="s">
        <v>30</v>
      </c>
      <c r="C2199" t="s">
        <v>15</v>
      </c>
      <c r="D2199" t="s">
        <v>19</v>
      </c>
      <c r="E2199" s="3" t="str">
        <f>HYPERLINK("http://www.otzar.org/book.asp?189305","רשימת דברים")</f>
        <v>רשימת דברים</v>
      </c>
    </row>
    <row r="2200" spans="1:5" x14ac:dyDescent="0.2">
      <c r="A2200" t="s">
        <v>3432</v>
      </c>
      <c r="B2200" t="s">
        <v>38</v>
      </c>
      <c r="C2200" t="s">
        <v>86</v>
      </c>
      <c r="D2200" t="s">
        <v>8</v>
      </c>
      <c r="E2200" s="3" t="str">
        <f>HYPERLINK("http://www.otzar.org/book.asp?160624","רשימת המאסר")</f>
        <v>רשימת המאסר</v>
      </c>
    </row>
    <row r="2201" spans="1:5" x14ac:dyDescent="0.2">
      <c r="A2201" t="s">
        <v>3433</v>
      </c>
      <c r="B2201" t="s">
        <v>30</v>
      </c>
      <c r="C2201" t="s">
        <v>111</v>
      </c>
      <c r="D2201" t="s">
        <v>8</v>
      </c>
      <c r="E2201" s="3" t="str">
        <f>HYPERLINK("http://www.otzar.org/book.asp?165200","רשימת המנורה")</f>
        <v>רשימת המנורה</v>
      </c>
    </row>
    <row r="2202" spans="1:5" x14ac:dyDescent="0.2">
      <c r="A2202" t="s">
        <v>3434</v>
      </c>
      <c r="B2202" t="s">
        <v>3435</v>
      </c>
      <c r="C2202" t="s">
        <v>11</v>
      </c>
      <c r="D2202" t="s">
        <v>8</v>
      </c>
      <c r="E2202" s="3" t="str">
        <f>HYPERLINK("http://www.otzar.org/book.asp?627064","רשימת כ""ק אדמו""ר יוסף יצחק - דברי ימיי חיי אדמו""ר הזקן")</f>
        <v>רשימת כ"ק אדמו"ר יוסף יצחק - דברי ימיי חיי אדמו"ר הזקן</v>
      </c>
    </row>
    <row r="2203" spans="1:5" x14ac:dyDescent="0.2">
      <c r="A2203" t="s">
        <v>3436</v>
      </c>
      <c r="B2203" t="s">
        <v>30</v>
      </c>
      <c r="C2203" t="s">
        <v>82</v>
      </c>
      <c r="D2203" t="s">
        <v>8</v>
      </c>
      <c r="E2203" s="3" t="str">
        <f>HYPERLINK("http://www.otzar.org/book.asp?607899","רשימת כ""ק אדמו""ר מנחם מענדל - שמחת בית השואבה תרצ""ב")</f>
        <v>רשימת כ"ק אדמו"ר מנחם מענדל - שמחת בית השואבה תרצ"ב</v>
      </c>
    </row>
    <row r="2204" spans="1:5" x14ac:dyDescent="0.2">
      <c r="A2204" t="s">
        <v>3437</v>
      </c>
      <c r="B2204" t="s">
        <v>2443</v>
      </c>
      <c r="C2204" t="s">
        <v>191</v>
      </c>
      <c r="D2204" t="s">
        <v>8</v>
      </c>
      <c r="E2204" s="3" t="str">
        <f>HYPERLINK("http://www.otzar.org/book.asp?150674","רשימת כבוד קדושת אדמו""ר יוסף יצחק - 2 כר'")</f>
        <v>רשימת כבוד קדושת אדמו"ר יוסף יצחק - 2 כר'</v>
      </c>
    </row>
    <row r="2205" spans="1:5" x14ac:dyDescent="0.2">
      <c r="A2205" t="s">
        <v>3438</v>
      </c>
      <c r="B2205" t="s">
        <v>2443</v>
      </c>
      <c r="C2205" t="s">
        <v>49</v>
      </c>
      <c r="D2205" t="s">
        <v>8</v>
      </c>
      <c r="E2205" s="3" t="str">
        <f>HYPERLINK("http://www.otzar.org/book.asp?26168","רשימת מאמרי דא""ח של כ""ק אדמו""ר הצמח צדק")</f>
        <v>רשימת מאמרי דא"ח של כ"ק אדמו"ר הצמח צדק</v>
      </c>
    </row>
    <row r="2206" spans="1:5" x14ac:dyDescent="0.2">
      <c r="A2206" t="s">
        <v>3439</v>
      </c>
      <c r="B2206" t="s">
        <v>1189</v>
      </c>
      <c r="C2206" t="s">
        <v>142</v>
      </c>
      <c r="D2206" t="s">
        <v>775</v>
      </c>
      <c r="E2206" s="3" t="str">
        <f>HYPERLINK("http://www.otzar.org/book.asp?615030","רשימת מאמרי כ""ק אדמו""ר על המשך תער""ב")</f>
        <v>רשימת מאמרי כ"ק אדמו"ר על המשך תער"ב</v>
      </c>
    </row>
    <row r="2207" spans="1:5" x14ac:dyDescent="0.2">
      <c r="A2207" t="s">
        <v>3440</v>
      </c>
      <c r="B2207" t="s">
        <v>3441</v>
      </c>
      <c r="C2207" t="s">
        <v>111</v>
      </c>
      <c r="D2207" t="s">
        <v>8</v>
      </c>
      <c r="E2207" s="3" t="str">
        <f>HYPERLINK("http://www.otzar.org/book.asp?26978","רשמי ביאורים - א")</f>
        <v>רשמי ביאורים - א</v>
      </c>
    </row>
    <row r="2208" spans="1:5" x14ac:dyDescent="0.2">
      <c r="A2208" t="s">
        <v>3442</v>
      </c>
      <c r="B2208" t="s">
        <v>427</v>
      </c>
      <c r="C2208" t="s">
        <v>1756</v>
      </c>
      <c r="D2208" t="s">
        <v>19</v>
      </c>
      <c r="E2208" s="3" t="str">
        <f>HYPERLINK("http://www.otzar.org/book.asp?146197","רשת &lt;בטאון ארגון מורי חב""ד&gt; - 8")</f>
        <v>רשת &lt;בטאון ארגון מורי חב"ד&gt; - 8</v>
      </c>
    </row>
    <row r="2209" spans="1:5" x14ac:dyDescent="0.2">
      <c r="A2209" t="s">
        <v>3443</v>
      </c>
      <c r="B2209" t="s">
        <v>903</v>
      </c>
      <c r="C2209" t="s">
        <v>11</v>
      </c>
      <c r="D2209" t="s">
        <v>12</v>
      </c>
      <c r="E2209" s="3" t="str">
        <f>HYPERLINK("http://www.otzar.org/book.asp?160797","שאי תפילה")</f>
        <v>שאי תפילה</v>
      </c>
    </row>
    <row r="2210" spans="1:5" x14ac:dyDescent="0.2">
      <c r="A2210" t="s">
        <v>3444</v>
      </c>
      <c r="B2210" t="s">
        <v>3445</v>
      </c>
      <c r="C2210" t="s">
        <v>73</v>
      </c>
      <c r="D2210" t="s">
        <v>8</v>
      </c>
      <c r="E2210" s="3" t="str">
        <f>HYPERLINK("http://www.otzar.org/book.asp?601614","שאלות בלקוטי טעמים")</f>
        <v>שאלות בלקוטי טעמים</v>
      </c>
    </row>
    <row r="2211" spans="1:5" x14ac:dyDescent="0.2">
      <c r="A2211" t="s">
        <v>3446</v>
      </c>
      <c r="B2211" t="s">
        <v>3447</v>
      </c>
      <c r="C2211" t="s">
        <v>47</v>
      </c>
      <c r="D2211" t="s">
        <v>40</v>
      </c>
      <c r="E2211" s="3" t="str">
        <f>HYPERLINK("http://www.otzar.org/book.asp?145640","שאלות בפירש""י על פרשת השבוע")</f>
        <v>שאלות בפירש"י על פרשת השבוע</v>
      </c>
    </row>
    <row r="2212" spans="1:5" x14ac:dyDescent="0.2">
      <c r="A2212" t="s">
        <v>3448</v>
      </c>
      <c r="B2212" t="s">
        <v>3449</v>
      </c>
      <c r="C2212" t="s">
        <v>47</v>
      </c>
      <c r="D2212" t="s">
        <v>1398</v>
      </c>
      <c r="E2212" s="3" t="str">
        <f>HYPERLINK("http://www.otzar.org/book.asp?145636","שאלות וביאורים בפרש""י על פרשת השבוע - י")</f>
        <v>שאלות וביאורים בפרש"י על פרשת השבוע - י</v>
      </c>
    </row>
    <row r="2213" spans="1:5" x14ac:dyDescent="0.2">
      <c r="A2213" t="s">
        <v>3450</v>
      </c>
      <c r="B2213" t="s">
        <v>3451</v>
      </c>
      <c r="C2213" t="s">
        <v>7</v>
      </c>
      <c r="D2213" t="s">
        <v>19</v>
      </c>
      <c r="E2213" s="3" t="str">
        <f>HYPERLINK("http://www.otzar.org/book.asp?629548","שאלות חזרה")</f>
        <v>שאלות חזרה</v>
      </c>
    </row>
    <row r="2214" spans="1:5" x14ac:dyDescent="0.2">
      <c r="A2214" t="s">
        <v>3452</v>
      </c>
      <c r="B2214" t="s">
        <v>1495</v>
      </c>
      <c r="C2214" t="s">
        <v>76</v>
      </c>
      <c r="D2214" t="s">
        <v>8</v>
      </c>
      <c r="E2214" s="3" t="str">
        <f>HYPERLINK("http://www.otzar.org/book.asp?146328","שאלות לחזרה בקונטרס ""ומעין""")</f>
        <v>שאלות לחזרה בקונטרס "ומעין"</v>
      </c>
    </row>
    <row r="2215" spans="1:5" x14ac:dyDescent="0.2">
      <c r="A2215" t="s">
        <v>3453</v>
      </c>
      <c r="B2215" t="s">
        <v>3445</v>
      </c>
      <c r="C2215" t="s">
        <v>82</v>
      </c>
      <c r="D2215" t="s">
        <v>8</v>
      </c>
      <c r="E2215" s="3" t="str">
        <f>HYPERLINK("http://www.otzar.org/book.asp?607934","שאלות לתינוקות של בית רבן - הגדה ש""פ")</f>
        <v>שאלות לתינוקות של בית רבן - הגדה ש"פ</v>
      </c>
    </row>
    <row r="2216" spans="1:5" x14ac:dyDescent="0.2">
      <c r="A2216" t="s">
        <v>3454</v>
      </c>
      <c r="B2216" t="s">
        <v>3455</v>
      </c>
      <c r="C2216" t="s">
        <v>49</v>
      </c>
      <c r="D2216" t="s">
        <v>3456</v>
      </c>
      <c r="E2216" s="3" t="str">
        <f>HYPERLINK("http://www.otzar.org/book.asp?155393","שאלות פירושים וביאורים - 12 כר'")</f>
        <v>שאלות פירושים וביאורים - 12 כר'</v>
      </c>
    </row>
    <row r="2217" spans="1:5" x14ac:dyDescent="0.2">
      <c r="A2217" t="s">
        <v>3457</v>
      </c>
      <c r="B2217" t="s">
        <v>3458</v>
      </c>
      <c r="C2217" t="s">
        <v>52</v>
      </c>
      <c r="D2217" t="s">
        <v>101</v>
      </c>
      <c r="E2217" s="3" t="str">
        <f>HYPERLINK("http://www.otzar.org/book.asp?27061","שאמיל")</f>
        <v>שאמיל</v>
      </c>
    </row>
    <row r="2218" spans="1:5" x14ac:dyDescent="0.2">
      <c r="A2218" t="s">
        <v>3459</v>
      </c>
      <c r="B2218" t="s">
        <v>3460</v>
      </c>
      <c r="C2218" t="s">
        <v>3461</v>
      </c>
      <c r="D2218" t="s">
        <v>312</v>
      </c>
      <c r="E2218" s="3" t="str">
        <f>HYPERLINK("http://www.otzar.org/book.asp?101867","שארית יהודה - 2 כר'")</f>
        <v>שארית יהודה - 2 כר'</v>
      </c>
    </row>
    <row r="2219" spans="1:5" x14ac:dyDescent="0.2">
      <c r="A2219" t="s">
        <v>3462</v>
      </c>
      <c r="B2219" t="s">
        <v>3463</v>
      </c>
      <c r="C2219" t="s">
        <v>618</v>
      </c>
      <c r="D2219" t="s">
        <v>3464</v>
      </c>
      <c r="E2219" s="3" t="str">
        <f>HYPERLINK("http://www.otzar.org/book.asp?20738","שארית ישראל")</f>
        <v>שארית ישראל</v>
      </c>
    </row>
    <row r="2220" spans="1:5" x14ac:dyDescent="0.2">
      <c r="A2220" t="s">
        <v>3465</v>
      </c>
      <c r="B2220" t="s">
        <v>3466</v>
      </c>
      <c r="C2220" t="s">
        <v>52</v>
      </c>
      <c r="D2220" t="s">
        <v>12</v>
      </c>
      <c r="E2220" s="3" t="str">
        <f>HYPERLINK("http://www.otzar.org/book.asp?141553","שבועות חסידי")</f>
        <v>שבועות חסידי</v>
      </c>
    </row>
    <row r="2221" spans="1:5" x14ac:dyDescent="0.2">
      <c r="A2221" t="s">
        <v>3467</v>
      </c>
      <c r="B2221" t="s">
        <v>3468</v>
      </c>
      <c r="C2221" t="s">
        <v>191</v>
      </c>
      <c r="D2221" t="s">
        <v>8</v>
      </c>
      <c r="E2221" s="3" t="str">
        <f>HYPERLINK("http://www.otzar.org/book.asp?85014","שבח הברית")</f>
        <v>שבח הברית</v>
      </c>
    </row>
    <row r="2222" spans="1:5" x14ac:dyDescent="0.2">
      <c r="A2222" t="s">
        <v>3469</v>
      </c>
      <c r="B2222" t="s">
        <v>3468</v>
      </c>
      <c r="C2222" t="s">
        <v>129</v>
      </c>
      <c r="D2222" t="s">
        <v>8</v>
      </c>
      <c r="E2222" s="3" t="str">
        <f>HYPERLINK("http://www.otzar.org/book.asp?27096","שבח המועדים")</f>
        <v>שבח המועדים</v>
      </c>
    </row>
    <row r="2223" spans="1:5" x14ac:dyDescent="0.2">
      <c r="A2223" t="s">
        <v>3470</v>
      </c>
      <c r="B2223" t="s">
        <v>3468</v>
      </c>
      <c r="C2223" t="s">
        <v>11</v>
      </c>
      <c r="D2223" t="s">
        <v>8</v>
      </c>
      <c r="E2223" s="3" t="str">
        <f>HYPERLINK("http://www.otzar.org/book.asp?164309","שבח הנישואין")</f>
        <v>שבח הנישואין</v>
      </c>
    </row>
    <row r="2224" spans="1:5" x14ac:dyDescent="0.2">
      <c r="A2224" t="s">
        <v>3471</v>
      </c>
      <c r="B2224" t="s">
        <v>3468</v>
      </c>
      <c r="C2224" t="s">
        <v>148</v>
      </c>
      <c r="D2224" t="s">
        <v>8</v>
      </c>
      <c r="E2224" s="3" t="str">
        <f>HYPERLINK("http://www.otzar.org/book.asp?140824","שבח יקר")</f>
        <v>שבח יקר</v>
      </c>
    </row>
    <row r="2225" spans="1:5" x14ac:dyDescent="0.2">
      <c r="A2225" t="s">
        <v>3472</v>
      </c>
      <c r="B2225" t="s">
        <v>3473</v>
      </c>
      <c r="C2225" t="s">
        <v>60</v>
      </c>
      <c r="D2225" t="s">
        <v>40</v>
      </c>
      <c r="E2225" s="3" t="str">
        <f>HYPERLINK("http://www.otzar.org/book.asp?29321","שבחי הבעש""ט &lt;מכתב יד&gt;")</f>
        <v>שבחי הבעש"ט &lt;מכתב יד&gt;</v>
      </c>
    </row>
    <row r="2226" spans="1:5" x14ac:dyDescent="0.2">
      <c r="A2226" t="s">
        <v>3474</v>
      </c>
      <c r="B2226" t="s">
        <v>3475</v>
      </c>
      <c r="C2226" t="s">
        <v>350</v>
      </c>
      <c r="D2226" t="s">
        <v>80</v>
      </c>
      <c r="E2226" s="3" t="str">
        <f>HYPERLINK("http://www.otzar.org/book.asp?607711","שבחי הבעש""ט השלם (מבואר)")</f>
        <v>שבחי הבעש"ט השלם (מבואר)</v>
      </c>
    </row>
    <row r="2227" spans="1:5" x14ac:dyDescent="0.2">
      <c r="A2227" t="s">
        <v>3473</v>
      </c>
      <c r="B2227" t="s">
        <v>3476</v>
      </c>
      <c r="C2227" t="s">
        <v>2719</v>
      </c>
      <c r="D2227" t="s">
        <v>26</v>
      </c>
      <c r="E2227" s="3" t="str">
        <f>HYPERLINK("http://www.otzar.org/book.asp?103740","שבחי הבעש""ט")</f>
        <v>שבחי הבעש"ט</v>
      </c>
    </row>
    <row r="2228" spans="1:5" x14ac:dyDescent="0.2">
      <c r="A2228" t="s">
        <v>3473</v>
      </c>
      <c r="B2228" t="s">
        <v>3477</v>
      </c>
      <c r="C2228" t="s">
        <v>3478</v>
      </c>
      <c r="D2228" t="s">
        <v>71</v>
      </c>
      <c r="E2228" s="3" t="str">
        <f>HYPERLINK("http://www.otzar.org/book.asp?105824","שבחי הבעש""ט")</f>
        <v>שבחי הבעש"ט</v>
      </c>
    </row>
    <row r="2229" spans="1:5" x14ac:dyDescent="0.2">
      <c r="A2229" t="s">
        <v>3479</v>
      </c>
      <c r="B2229" t="s">
        <v>2678</v>
      </c>
      <c r="C2229" t="s">
        <v>3480</v>
      </c>
      <c r="D2229" t="s">
        <v>2669</v>
      </c>
      <c r="E2229" s="3" t="str">
        <f>HYPERLINK("http://www.otzar.org/book.asp?623","שבחי הרב - 2 כר'")</f>
        <v>שבחי הרב - 2 כר'</v>
      </c>
    </row>
    <row r="2230" spans="1:5" x14ac:dyDescent="0.2">
      <c r="A2230" t="s">
        <v>3481</v>
      </c>
      <c r="B2230" t="s">
        <v>3482</v>
      </c>
      <c r="C2230" t="s">
        <v>76</v>
      </c>
      <c r="D2230" t="s">
        <v>101</v>
      </c>
      <c r="E2230" s="3" t="str">
        <f>HYPERLINK("http://www.otzar.org/book.asp?607662","שביעית כהלכתה")</f>
        <v>שביעית כהלכתה</v>
      </c>
    </row>
    <row r="2231" spans="1:5" x14ac:dyDescent="0.2">
      <c r="A2231" t="s">
        <v>3483</v>
      </c>
      <c r="B2231" t="s">
        <v>352</v>
      </c>
      <c r="C2231" t="s">
        <v>86</v>
      </c>
      <c r="D2231" t="s">
        <v>40</v>
      </c>
      <c r="E2231" s="3" t="str">
        <f>HYPERLINK("http://www.otzar.org/book.asp?143243","שבע מצות השם")</f>
        <v>שבע מצות השם</v>
      </c>
    </row>
    <row r="2232" spans="1:5" x14ac:dyDescent="0.2">
      <c r="A2232" t="s">
        <v>3484</v>
      </c>
      <c r="B2232" t="s">
        <v>30</v>
      </c>
      <c r="C2232" t="s">
        <v>31</v>
      </c>
      <c r="D2232" t="s">
        <v>8</v>
      </c>
      <c r="E2232" s="3" t="str">
        <f>HYPERLINK("http://www.otzar.org/book.asp?141438","שבעת התורות שאמר מורנו הבעש""ט בגן עדן")</f>
        <v>שבעת התורות שאמר מורנו הבעש"ט בגן עדן</v>
      </c>
    </row>
    <row r="2233" spans="1:5" x14ac:dyDescent="0.2">
      <c r="A2233" t="s">
        <v>3485</v>
      </c>
      <c r="B2233" t="s">
        <v>1846</v>
      </c>
      <c r="C2233" t="s">
        <v>11</v>
      </c>
      <c r="D2233" t="s">
        <v>3486</v>
      </c>
      <c r="E2233" s="3" t="str">
        <f>HYPERLINK("http://www.otzar.org/book.asp?614942","שבת אחדות - 4 כר'")</f>
        <v>שבת אחדות - 4 כר'</v>
      </c>
    </row>
    <row r="2234" spans="1:5" x14ac:dyDescent="0.2">
      <c r="A2234" t="s">
        <v>3487</v>
      </c>
      <c r="B2234" t="s">
        <v>1352</v>
      </c>
      <c r="C2234" t="s">
        <v>129</v>
      </c>
      <c r="D2234" t="s">
        <v>40</v>
      </c>
      <c r="E2234" s="3" t="str">
        <f>HYPERLINK("http://www.otzar.org/book.asp?26970","שבת כהלכה - 2 כר'")</f>
        <v>שבת כהלכה - 2 כר'</v>
      </c>
    </row>
    <row r="2235" spans="1:5" x14ac:dyDescent="0.2">
      <c r="A2235" t="s">
        <v>3488</v>
      </c>
      <c r="B2235" t="s">
        <v>30</v>
      </c>
      <c r="C2235" t="s">
        <v>327</v>
      </c>
      <c r="D2235" t="s">
        <v>19</v>
      </c>
      <c r="E2235" s="3" t="str">
        <f>HYPERLINK("http://www.otzar.org/book.asp?146570","שבת של אחדות ישראל")</f>
        <v>שבת של אחדות ישראל</v>
      </c>
    </row>
    <row r="2236" spans="1:5" x14ac:dyDescent="0.2">
      <c r="A2236" t="s">
        <v>3489</v>
      </c>
      <c r="B2236" t="s">
        <v>3490</v>
      </c>
      <c r="C2236" t="s">
        <v>70</v>
      </c>
      <c r="D2236" t="s">
        <v>12</v>
      </c>
      <c r="E2236" s="3" t="str">
        <f>HYPERLINK("http://www.otzar.org/book.asp?141451","שבת, כיבוד אב ואם, כיסוי ראש, מזוזה")</f>
        <v>שבת, כיבוד אב ואם, כיסוי ראש, מזוזה</v>
      </c>
    </row>
    <row r="2237" spans="1:5" x14ac:dyDescent="0.2">
      <c r="A2237" t="s">
        <v>3491</v>
      </c>
      <c r="B2237" t="s">
        <v>3492</v>
      </c>
      <c r="C2237" t="s">
        <v>3493</v>
      </c>
      <c r="D2237" t="s">
        <v>92</v>
      </c>
      <c r="E2237" s="3" t="str">
        <f>HYPERLINK("http://www.otzar.org/book.asp?28767","שדי חמד - 9 כר'")</f>
        <v>שדי חמד - 9 כר'</v>
      </c>
    </row>
    <row r="2238" spans="1:5" x14ac:dyDescent="0.2">
      <c r="A2238" t="s">
        <v>3494</v>
      </c>
      <c r="B2238" t="s">
        <v>3495</v>
      </c>
      <c r="C2238" t="s">
        <v>82</v>
      </c>
      <c r="D2238" t="s">
        <v>19</v>
      </c>
      <c r="E2238" s="3" t="str">
        <f>HYPERLINK("http://www.otzar.org/book.asp?607474","שו""ת אגרות מרדכי")</f>
        <v>שו"ת אגרות מרדכי</v>
      </c>
    </row>
    <row r="2239" spans="1:5" x14ac:dyDescent="0.2">
      <c r="A2239" t="s">
        <v>3496</v>
      </c>
      <c r="B2239" t="s">
        <v>24</v>
      </c>
      <c r="C2239" t="s">
        <v>39</v>
      </c>
      <c r="D2239" t="s">
        <v>8</v>
      </c>
      <c r="E2239" s="3" t="str">
        <f>HYPERLINK("http://www.otzar.org/book.asp?171723","שו""ת אדמו""ר הזקן")</f>
        <v>שו"ת אדמו"ר הזקן</v>
      </c>
    </row>
    <row r="2240" spans="1:5" x14ac:dyDescent="0.2">
      <c r="A2240" t="s">
        <v>3497</v>
      </c>
      <c r="B2240" t="s">
        <v>3498</v>
      </c>
      <c r="C2240" t="s">
        <v>52</v>
      </c>
      <c r="D2240" t="s">
        <v>8</v>
      </c>
      <c r="E2240" s="3" t="str">
        <f>HYPERLINK("http://www.otzar.org/book.asp?27120","שו""ת במאמרי ליקוטי תורה לאדמו""ר הזקן")</f>
        <v>שו"ת במאמרי ליקוטי תורה לאדמו"ר הזקן</v>
      </c>
    </row>
    <row r="2241" spans="1:5" x14ac:dyDescent="0.2">
      <c r="A2241" t="s">
        <v>3499</v>
      </c>
      <c r="B2241" t="s">
        <v>3181</v>
      </c>
      <c r="C2241" t="s">
        <v>31</v>
      </c>
      <c r="D2241" t="s">
        <v>8</v>
      </c>
      <c r="E2241" s="3" t="str">
        <f>HYPERLINK("http://www.otzar.org/book.asp?141452","שו""ת בענין הגאולה העתידה וביאת המשיח")</f>
        <v>שו"ת בענין הגאולה העתידה וביאת המשיח</v>
      </c>
    </row>
    <row r="2242" spans="1:5" x14ac:dyDescent="0.2">
      <c r="A2242" t="s">
        <v>3500</v>
      </c>
      <c r="B2242" t="s">
        <v>24</v>
      </c>
      <c r="C2242" t="s">
        <v>39</v>
      </c>
      <c r="D2242" t="s">
        <v>40</v>
      </c>
      <c r="E2242" s="3" t="str">
        <f>HYPERLINK("http://www.otzar.org/book.asp?141713","שו""ת הרב &lt;טקסט&gt;")</f>
        <v>שו"ת הרב &lt;טקסט&gt;</v>
      </c>
    </row>
    <row r="2243" spans="1:5" x14ac:dyDescent="0.2">
      <c r="A2243" t="s">
        <v>3501</v>
      </c>
      <c r="B2243" t="s">
        <v>24</v>
      </c>
      <c r="C2243" t="s">
        <v>165</v>
      </c>
      <c r="D2243" t="s">
        <v>12</v>
      </c>
      <c r="E2243" s="3" t="str">
        <f>HYPERLINK("http://www.otzar.org/book.asp?27159","שו""ת הרב")</f>
        <v>שו"ת הרב</v>
      </c>
    </row>
    <row r="2244" spans="1:5" x14ac:dyDescent="0.2">
      <c r="A2244" t="s">
        <v>3502</v>
      </c>
      <c r="B2244" t="s">
        <v>3503</v>
      </c>
      <c r="C2244" t="s">
        <v>73</v>
      </c>
      <c r="D2244" t="s">
        <v>315</v>
      </c>
      <c r="E2244" s="3" t="str">
        <f>HYPERLINK("http://www.otzar.org/book.asp?197683","שו""ת השלוחים - א")</f>
        <v>שו"ת השלוחים - א</v>
      </c>
    </row>
    <row r="2245" spans="1:5" x14ac:dyDescent="0.2">
      <c r="A2245" t="s">
        <v>3504</v>
      </c>
      <c r="B2245" t="s">
        <v>3505</v>
      </c>
      <c r="C2245" t="s">
        <v>73</v>
      </c>
      <c r="D2245" t="s">
        <v>19</v>
      </c>
      <c r="E2245" s="3" t="str">
        <f>HYPERLINK("http://www.otzar.org/book.asp?600289","שו""ת שלוחי המלך")</f>
        <v>שו"ת שלוחי המלך</v>
      </c>
    </row>
    <row r="2246" spans="1:5" x14ac:dyDescent="0.2">
      <c r="A2246" t="s">
        <v>3506</v>
      </c>
      <c r="B2246" t="s">
        <v>108</v>
      </c>
      <c r="C2246" t="s">
        <v>52</v>
      </c>
      <c r="D2246" t="s">
        <v>101</v>
      </c>
      <c r="E2246" s="3" t="str">
        <f>HYPERLINK("http://www.otzar.org/book.asp?27615","שואלים ודורשים - בענייני הפסח")</f>
        <v>שואלים ודורשים - בענייני הפסח</v>
      </c>
    </row>
    <row r="2247" spans="1:5" x14ac:dyDescent="0.2">
      <c r="A2247" t="s">
        <v>3507</v>
      </c>
      <c r="B2247" t="s">
        <v>3468</v>
      </c>
      <c r="C2247" t="s">
        <v>60</v>
      </c>
      <c r="D2247" t="s">
        <v>8</v>
      </c>
      <c r="E2247" s="3" t="str">
        <f>HYPERLINK("http://www.otzar.org/book.asp?145650","שואלין ודורשין וסדר פסח")</f>
        <v>שואלין ודורשין וסדר פסח</v>
      </c>
    </row>
    <row r="2248" spans="1:5" x14ac:dyDescent="0.2">
      <c r="A2248" t="s">
        <v>3508</v>
      </c>
      <c r="B2248" t="s">
        <v>1361</v>
      </c>
      <c r="C2248" t="s">
        <v>76</v>
      </c>
      <c r="D2248" t="s">
        <v>19</v>
      </c>
      <c r="E2248" s="3" t="str">
        <f>HYPERLINK("http://www.otzar.org/book.asp?196251","שווה לכל נפש - 2 כר'")</f>
        <v>שווה לכל נפש - 2 כר'</v>
      </c>
    </row>
    <row r="2249" spans="1:5" x14ac:dyDescent="0.2">
      <c r="A2249" t="s">
        <v>3509</v>
      </c>
      <c r="B2249" t="s">
        <v>3510</v>
      </c>
      <c r="C2249" t="s">
        <v>350</v>
      </c>
      <c r="D2249" t="s">
        <v>40</v>
      </c>
      <c r="E2249" s="3" t="str">
        <f>HYPERLINK("http://www.otzar.org/book.asp?613939","שולחן השבת עם הרבי מלובביץ")</f>
        <v>שולחן השבת עם הרבי מלובביץ</v>
      </c>
    </row>
    <row r="2250" spans="1:5" x14ac:dyDescent="0.2">
      <c r="A2250" t="s">
        <v>3511</v>
      </c>
      <c r="B2250" t="s">
        <v>981</v>
      </c>
      <c r="C2250" t="s">
        <v>11</v>
      </c>
      <c r="D2250" t="s">
        <v>12</v>
      </c>
      <c r="E2250" s="3" t="str">
        <f>HYPERLINK("http://www.otzar.org/book.asp?160796","שולחן חג")</f>
        <v>שולחן חג</v>
      </c>
    </row>
    <row r="2251" spans="1:5" x14ac:dyDescent="0.2">
      <c r="A2251" t="s">
        <v>3512</v>
      </c>
      <c r="B2251" t="s">
        <v>3513</v>
      </c>
      <c r="C2251" t="s">
        <v>18</v>
      </c>
      <c r="D2251" t="s">
        <v>12</v>
      </c>
      <c r="E2251" s="3" t="str">
        <f>HYPERLINK("http://www.otzar.org/book.asp?181652","שולחן שבת - 5 כר'")</f>
        <v>שולחן שבת - 5 כר'</v>
      </c>
    </row>
    <row r="2252" spans="1:5" x14ac:dyDescent="0.2">
      <c r="A2252" t="s">
        <v>3514</v>
      </c>
      <c r="B2252" t="s">
        <v>108</v>
      </c>
      <c r="C2252" t="s">
        <v>49</v>
      </c>
      <c r="D2252" t="s">
        <v>3515</v>
      </c>
      <c r="E2252" s="3" t="str">
        <f>HYPERLINK("http://www.otzar.org/book.asp?27747","שומרי החומות")</f>
        <v>שומרי החומות</v>
      </c>
    </row>
    <row r="2253" spans="1:5" x14ac:dyDescent="0.2">
      <c r="A2253" t="s">
        <v>3516</v>
      </c>
      <c r="B2253" t="s">
        <v>3517</v>
      </c>
      <c r="C2253" t="s">
        <v>86</v>
      </c>
      <c r="D2253" t="s">
        <v>556</v>
      </c>
      <c r="E2253" s="3" t="str">
        <f>HYPERLINK("http://www.otzar.org/book.asp?143246","שומרי טהרה")</f>
        <v>שומרי טהרה</v>
      </c>
    </row>
    <row r="2254" spans="1:5" x14ac:dyDescent="0.2">
      <c r="A2254" t="s">
        <v>3518</v>
      </c>
      <c r="B2254" t="s">
        <v>3517</v>
      </c>
      <c r="C2254" t="s">
        <v>39</v>
      </c>
      <c r="D2254" t="s">
        <v>556</v>
      </c>
      <c r="E2254" s="3" t="str">
        <f>HYPERLINK("http://www.otzar.org/book.asp?143249","שומרי משפט")</f>
        <v>שומרי משפט</v>
      </c>
    </row>
    <row r="2255" spans="1:5" x14ac:dyDescent="0.2">
      <c r="A2255" t="s">
        <v>3519</v>
      </c>
      <c r="B2255" t="s">
        <v>3520</v>
      </c>
      <c r="C2255" t="s">
        <v>191</v>
      </c>
      <c r="D2255" t="s">
        <v>12</v>
      </c>
      <c r="E2255" s="3" t="str">
        <f>HYPERLINK("http://www.otzar.org/book.asp?196217","שורש מצות התפילה - א")</f>
        <v>שורש מצות התפילה - א</v>
      </c>
    </row>
    <row r="2256" spans="1:5" x14ac:dyDescent="0.2">
      <c r="A2256" t="s">
        <v>3521</v>
      </c>
      <c r="B2256" t="s">
        <v>108</v>
      </c>
      <c r="C2256" t="s">
        <v>301</v>
      </c>
      <c r="D2256" t="s">
        <v>463</v>
      </c>
      <c r="E2256" s="3" t="str">
        <f>HYPERLINK("http://www.otzar.org/book.asp?141440","שושנת העמקים")</f>
        <v>שושנת העמקים</v>
      </c>
    </row>
    <row r="2257" spans="1:5" x14ac:dyDescent="0.2">
      <c r="A2257" t="s">
        <v>3522</v>
      </c>
      <c r="B2257" t="s">
        <v>108</v>
      </c>
      <c r="C2257" t="s">
        <v>201</v>
      </c>
      <c r="D2257" t="s">
        <v>12</v>
      </c>
      <c r="E2257" s="3" t="str">
        <f>HYPERLINK("http://www.otzar.org/book.asp?27456","שי למלך")</f>
        <v>שי למלך</v>
      </c>
    </row>
    <row r="2258" spans="1:5" x14ac:dyDescent="0.2">
      <c r="A2258" t="s">
        <v>3523</v>
      </c>
      <c r="B2258" t="s">
        <v>1128</v>
      </c>
      <c r="C2258" t="s">
        <v>31</v>
      </c>
      <c r="D2258" t="s">
        <v>116</v>
      </c>
      <c r="E2258" s="3" t="str">
        <f>HYPERLINK("http://www.otzar.org/book.asp?26904","שי לצדיק")</f>
        <v>שי לצדיק</v>
      </c>
    </row>
    <row r="2259" spans="1:5" x14ac:dyDescent="0.2">
      <c r="A2259" t="s">
        <v>3524</v>
      </c>
      <c r="B2259" t="s">
        <v>30</v>
      </c>
      <c r="C2259" t="s">
        <v>54</v>
      </c>
      <c r="D2259" t="s">
        <v>12</v>
      </c>
      <c r="E2259" s="3" t="str">
        <f>HYPERLINK("http://www.otzar.org/book.asp?169945","שידוך טוב")</f>
        <v>שידוך טוב</v>
      </c>
    </row>
    <row r="2260" spans="1:5" x14ac:dyDescent="0.2">
      <c r="A2260" t="s">
        <v>3525</v>
      </c>
      <c r="B2260" t="s">
        <v>2316</v>
      </c>
      <c r="C2260" t="s">
        <v>86</v>
      </c>
      <c r="D2260" t="s">
        <v>40</v>
      </c>
      <c r="E2260" s="3" t="str">
        <f>HYPERLINK("http://www.otzar.org/book.asp?142722","שיח שרפי קודש")</f>
        <v>שיח שרפי קודש</v>
      </c>
    </row>
    <row r="2261" spans="1:5" x14ac:dyDescent="0.2">
      <c r="A2261" t="s">
        <v>3526</v>
      </c>
      <c r="B2261" t="s">
        <v>108</v>
      </c>
      <c r="C2261" t="s">
        <v>3527</v>
      </c>
      <c r="D2261" t="s">
        <v>788</v>
      </c>
      <c r="E2261" s="3" t="str">
        <f>HYPERLINK("http://www.otzar.org/book.asp?146158","שיח תמים - 2 כר'")</f>
        <v>שיח תמים - 2 כר'</v>
      </c>
    </row>
    <row r="2262" spans="1:5" x14ac:dyDescent="0.2">
      <c r="A2262" t="s">
        <v>3528</v>
      </c>
      <c r="B2262" t="s">
        <v>3529</v>
      </c>
      <c r="C2262" t="s">
        <v>122</v>
      </c>
      <c r="D2262" t="s">
        <v>12</v>
      </c>
      <c r="E2262" s="3" t="str">
        <f>HYPERLINK("http://www.otzar.org/book.asp?146255","שיח")</f>
        <v>שיח</v>
      </c>
    </row>
    <row r="2263" spans="1:5" x14ac:dyDescent="0.2">
      <c r="A2263" t="s">
        <v>3530</v>
      </c>
      <c r="B2263" t="s">
        <v>38</v>
      </c>
      <c r="C2263" t="s">
        <v>656</v>
      </c>
      <c r="D2263" t="s">
        <v>92</v>
      </c>
      <c r="E2263" s="3" t="str">
        <f>HYPERLINK("http://www.otzar.org/book.asp?103744","שיחה של כ""ק אדמו""ר")</f>
        <v>שיחה של כ"ק אדמו"ר</v>
      </c>
    </row>
    <row r="2264" spans="1:5" x14ac:dyDescent="0.2">
      <c r="A2264" t="s">
        <v>3531</v>
      </c>
      <c r="B2264" t="s">
        <v>3532</v>
      </c>
      <c r="C2264" t="s">
        <v>44</v>
      </c>
      <c r="D2264" t="s">
        <v>12</v>
      </c>
      <c r="E2264" s="3" t="str">
        <f>HYPERLINK("http://www.otzar.org/book.asp?173563","שיחו בכל נפלאותיו")</f>
        <v>שיחו בכל נפלאותיו</v>
      </c>
    </row>
    <row r="2265" spans="1:5" x14ac:dyDescent="0.2">
      <c r="A2265" t="s">
        <v>3533</v>
      </c>
      <c r="B2265" t="s">
        <v>30</v>
      </c>
      <c r="C2265" t="s">
        <v>73</v>
      </c>
      <c r="D2265" t="s">
        <v>12</v>
      </c>
      <c r="E2265" s="3" t="str">
        <f>HYPERLINK("http://www.otzar.org/book.asp?181533","שיחות הרבי לילדים - 4 כר'")</f>
        <v>שיחות הרבי לילדים - 4 כר'</v>
      </c>
    </row>
    <row r="2266" spans="1:5" x14ac:dyDescent="0.2">
      <c r="A2266" t="s">
        <v>3534</v>
      </c>
      <c r="B2266" t="s">
        <v>3535</v>
      </c>
      <c r="C2266" t="s">
        <v>142</v>
      </c>
      <c r="D2266" t="s">
        <v>19</v>
      </c>
      <c r="E2266" s="3" t="str">
        <f>HYPERLINK("http://www.otzar.org/book.asp?621030","שיחות הרבי לעם - מועדים")</f>
        <v>שיחות הרבי לעם - מועדים</v>
      </c>
    </row>
    <row r="2267" spans="1:5" x14ac:dyDescent="0.2">
      <c r="A2267" t="s">
        <v>3536</v>
      </c>
      <c r="B2267" t="s">
        <v>3537</v>
      </c>
      <c r="C2267" t="s">
        <v>3538</v>
      </c>
      <c r="D2267" t="s">
        <v>12</v>
      </c>
      <c r="E2267" s="3" t="str">
        <f>HYPERLINK("http://www.otzar.org/book.asp?193157","שיחות השבוע - 6 כר'")</f>
        <v>שיחות השבוע - 6 כר'</v>
      </c>
    </row>
    <row r="2268" spans="1:5" x14ac:dyDescent="0.2">
      <c r="A2268" t="s">
        <v>3539</v>
      </c>
      <c r="B2268" t="s">
        <v>38</v>
      </c>
      <c r="C2268" t="s">
        <v>82</v>
      </c>
      <c r="D2268" t="s">
        <v>8</v>
      </c>
      <c r="E2268" s="3" t="str">
        <f>HYPERLINK("http://www.otzar.org/book.asp?199195","שיחות חג הגאולה י""ב-י""ג תמוז תרצ""ו")</f>
        <v>שיחות חג הגאולה י"ב-י"ג תמוז תרצ"ו</v>
      </c>
    </row>
    <row r="2269" spans="1:5" x14ac:dyDescent="0.2">
      <c r="A2269" t="s">
        <v>3540</v>
      </c>
      <c r="B2269" t="s">
        <v>3541</v>
      </c>
      <c r="C2269" t="s">
        <v>18</v>
      </c>
      <c r="D2269" t="s">
        <v>12</v>
      </c>
      <c r="E2269" s="3" t="str">
        <f>HYPERLINK("http://www.otzar.org/book.asp?27854","שיחות לנוער &lt;סדרה ב&gt; - 2 כר'")</f>
        <v>שיחות לנוער &lt;סדרה ב&gt; - 2 כר'</v>
      </c>
    </row>
    <row r="2270" spans="1:5" x14ac:dyDescent="0.2">
      <c r="A2270" t="s">
        <v>3542</v>
      </c>
      <c r="B2270" t="s">
        <v>393</v>
      </c>
      <c r="C2270" t="s">
        <v>3543</v>
      </c>
      <c r="D2270" t="s">
        <v>12</v>
      </c>
      <c r="E2270" s="3" t="str">
        <f>HYPERLINK("http://www.otzar.org/book.asp?29312","שיחות לנוער - 9 כר'")</f>
        <v>שיחות לנוער - 9 כר'</v>
      </c>
    </row>
    <row r="2271" spans="1:5" x14ac:dyDescent="0.2">
      <c r="A2271" t="s">
        <v>3544</v>
      </c>
      <c r="B2271" t="s">
        <v>38</v>
      </c>
      <c r="C2271" t="s">
        <v>58</v>
      </c>
      <c r="D2271" t="s">
        <v>12</v>
      </c>
      <c r="E2271" s="3" t="str">
        <f>HYPERLINK("http://www.otzar.org/book.asp?145761","שיחות קודש מכ""ק אדמו""ר מוהריי""ץ")</f>
        <v>שיחות קודש מכ"ק אדמו"ר מוהריי"ץ</v>
      </c>
    </row>
    <row r="2272" spans="1:5" x14ac:dyDescent="0.2">
      <c r="A2272" t="s">
        <v>3545</v>
      </c>
      <c r="B2272" t="s">
        <v>30</v>
      </c>
      <c r="C2272" t="s">
        <v>65</v>
      </c>
      <c r="D2272" t="s">
        <v>8</v>
      </c>
      <c r="E2272" s="3" t="str">
        <f>HYPERLINK("http://www.otzar.org/book.asp?27953","שיחות קודש - 53 כר'")</f>
        <v>שיחות קודש - 53 כר'</v>
      </c>
    </row>
    <row r="2273" spans="1:5" x14ac:dyDescent="0.2">
      <c r="A2273" t="s">
        <v>3546</v>
      </c>
      <c r="B2273" t="s">
        <v>30</v>
      </c>
      <c r="C2273" t="s">
        <v>82</v>
      </c>
      <c r="D2273" t="s">
        <v>12</v>
      </c>
      <c r="E2273" s="3" t="str">
        <f>HYPERLINK("http://www.otzar.org/book.asp?196261","שיחת היום")</f>
        <v>שיחת היום</v>
      </c>
    </row>
    <row r="2274" spans="1:5" x14ac:dyDescent="0.2">
      <c r="A2274" t="s">
        <v>3547</v>
      </c>
      <c r="B2274" t="s">
        <v>30</v>
      </c>
      <c r="C2274" t="s">
        <v>448</v>
      </c>
      <c r="D2274" t="s">
        <v>249</v>
      </c>
      <c r="E2274" s="3" t="str">
        <f>HYPERLINK("http://www.otzar.org/book.asp?146246","שיחת כ""ק הרבי מליובאוויץ לילדים וילדות")</f>
        <v>שיחת כ"ק הרבי מליובאוויץ לילדים וילדות</v>
      </c>
    </row>
    <row r="2275" spans="1:5" x14ac:dyDescent="0.2">
      <c r="A2275" t="s">
        <v>3548</v>
      </c>
      <c r="B2275" t="s">
        <v>3549</v>
      </c>
      <c r="C2275" t="s">
        <v>47</v>
      </c>
      <c r="D2275" t="s">
        <v>12</v>
      </c>
      <c r="E2275" s="3" t="str">
        <f>HYPERLINK("http://www.otzar.org/book.asp?27284","שיטת לימודו של הרוגוצ'ובי ז""ל")</f>
        <v>שיטת לימודו של הרוגוצ'ובי ז"ל</v>
      </c>
    </row>
    <row r="2276" spans="1:5" x14ac:dyDescent="0.2">
      <c r="A2276" t="s">
        <v>3550</v>
      </c>
      <c r="B2276" t="s">
        <v>1515</v>
      </c>
      <c r="C2276" t="s">
        <v>11</v>
      </c>
      <c r="D2276" t="s">
        <v>19</v>
      </c>
      <c r="E2276" s="3" t="str">
        <f>HYPERLINK("http://www.otzar.org/book.asp?167751","שיטת רבינו ישראל אבוחצירא בענין גידול וגילוח הזקן")</f>
        <v>שיטת רבינו ישראל אבוחצירא בענין גידול וגילוח הזקן</v>
      </c>
    </row>
    <row r="2277" spans="1:5" x14ac:dyDescent="0.2">
      <c r="A2277" t="s">
        <v>3551</v>
      </c>
      <c r="B2277" t="s">
        <v>17</v>
      </c>
      <c r="C2277" t="s">
        <v>73</v>
      </c>
      <c r="D2277" t="s">
        <v>8</v>
      </c>
      <c r="E2277" s="3" t="str">
        <f>HYPERLINK("http://www.otzar.org/book.asp?189106","שיעורי הלכה למעשה - 2 כר'")</f>
        <v>שיעורי הלכה למעשה - 2 כר'</v>
      </c>
    </row>
    <row r="2278" spans="1:5" x14ac:dyDescent="0.2">
      <c r="A2278" t="s">
        <v>3552</v>
      </c>
      <c r="B2278" t="s">
        <v>2319</v>
      </c>
      <c r="C2278" t="s">
        <v>15</v>
      </c>
      <c r="D2278" t="s">
        <v>19</v>
      </c>
      <c r="E2278" s="3" t="str">
        <f>HYPERLINK("http://www.otzar.org/book.asp?616779","שיעורי סמיכה - יו""ד צ""ח תערובות")</f>
        <v>שיעורי סמיכה - יו"ד צ"ח תערובות</v>
      </c>
    </row>
    <row r="2279" spans="1:5" x14ac:dyDescent="0.2">
      <c r="A2279" t="s">
        <v>3553</v>
      </c>
      <c r="B2279" t="s">
        <v>3554</v>
      </c>
      <c r="C2279" t="s">
        <v>54</v>
      </c>
      <c r="D2279" t="s">
        <v>315</v>
      </c>
      <c r="E2279" s="3" t="str">
        <f>HYPERLINK("http://www.otzar.org/book.asp?607807","שיעורים בהמשך המאמרים בשעה שהקדימו תער""ב - 7 כר'")</f>
        <v>שיעורים בהמשך המאמרים בשעה שהקדימו תער"ב - 7 כר'</v>
      </c>
    </row>
    <row r="2280" spans="1:5" x14ac:dyDescent="0.2">
      <c r="A2280" t="s">
        <v>3555</v>
      </c>
      <c r="B2280" t="s">
        <v>244</v>
      </c>
      <c r="C2280" t="s">
        <v>44</v>
      </c>
      <c r="D2280" t="s">
        <v>8</v>
      </c>
      <c r="E2280" s="3" t="str">
        <f>HYPERLINK("http://www.otzar.org/book.asp?174174","שיעורים בחסידות - 6 כר'")</f>
        <v>שיעורים בחסידות - 6 כר'</v>
      </c>
    </row>
    <row r="2281" spans="1:5" x14ac:dyDescent="0.2">
      <c r="A2281" t="s">
        <v>3556</v>
      </c>
      <c r="B2281" t="s">
        <v>3557</v>
      </c>
      <c r="C2281" t="s">
        <v>119</v>
      </c>
      <c r="D2281" t="s">
        <v>8</v>
      </c>
      <c r="E2281" s="3" t="str">
        <f>HYPERLINK("http://www.otzar.org/book.asp?26490","שיעורים בספר התניא (בל' הקדש) - 4 כר'")</f>
        <v>שיעורים בספר התניא (בל' הקדש) - 4 כר'</v>
      </c>
    </row>
    <row r="2282" spans="1:5" x14ac:dyDescent="0.2">
      <c r="A2282" t="s">
        <v>3558</v>
      </c>
      <c r="B2282" t="s">
        <v>3559</v>
      </c>
      <c r="C2282" t="s">
        <v>31</v>
      </c>
      <c r="D2282" t="s">
        <v>8</v>
      </c>
      <c r="E2282" s="3" t="str">
        <f>HYPERLINK("http://www.otzar.org/book.asp?26918","שיעורים בספר התניא - 3 כר'")</f>
        <v>שיעורים בספר התניא - 3 כר'</v>
      </c>
    </row>
    <row r="2283" spans="1:5" x14ac:dyDescent="0.2">
      <c r="A2283" t="s">
        <v>3560</v>
      </c>
      <c r="B2283" t="s">
        <v>75</v>
      </c>
      <c r="C2283" t="s">
        <v>54</v>
      </c>
      <c r="D2283" t="s">
        <v>8</v>
      </c>
      <c r="E2283" s="3" t="str">
        <f>HYPERLINK("http://www.otzar.org/book.asp?169925","שיעורים בתורת החסידות - המשך תרס""ו א")</f>
        <v>שיעורים בתורת החסידות - המשך תרס"ו א</v>
      </c>
    </row>
    <row r="2284" spans="1:5" x14ac:dyDescent="0.2">
      <c r="A2284" t="s">
        <v>3561</v>
      </c>
      <c r="B2284" t="s">
        <v>75</v>
      </c>
      <c r="C2284" t="s">
        <v>76</v>
      </c>
      <c r="D2284" t="s">
        <v>12</v>
      </c>
      <c r="E2284" s="3" t="str">
        <f>HYPERLINK("http://www.otzar.org/book.asp?28806","שיעורים בתורת חב""ד")</f>
        <v>שיעורים בתורת חב"ד</v>
      </c>
    </row>
    <row r="2285" spans="1:5" x14ac:dyDescent="0.2">
      <c r="A2285" t="s">
        <v>3562</v>
      </c>
      <c r="B2285" t="s">
        <v>3563</v>
      </c>
      <c r="C2285" t="s">
        <v>122</v>
      </c>
      <c r="D2285" t="s">
        <v>19</v>
      </c>
      <c r="E2285" s="3" t="str">
        <f>HYPERLINK("http://www.otzar.org/book.asp?146290","שירים אארוג")</f>
        <v>שירים אארוג</v>
      </c>
    </row>
    <row r="2286" spans="1:5" x14ac:dyDescent="0.2">
      <c r="A2286" t="s">
        <v>3564</v>
      </c>
      <c r="B2286" t="s">
        <v>3011</v>
      </c>
      <c r="C2286" t="s">
        <v>34</v>
      </c>
      <c r="D2286" t="s">
        <v>12</v>
      </c>
      <c r="E2286" s="3" t="str">
        <f>HYPERLINK("http://www.otzar.org/book.asp?153360","שירת מרים")</f>
        <v>שירת מרים</v>
      </c>
    </row>
    <row r="2287" spans="1:5" x14ac:dyDescent="0.2">
      <c r="A2287" t="s">
        <v>3565</v>
      </c>
      <c r="B2287" t="s">
        <v>3566</v>
      </c>
      <c r="C2287" t="s">
        <v>67</v>
      </c>
      <c r="D2287" t="s">
        <v>12</v>
      </c>
      <c r="E2287" s="3" t="str">
        <f>HYPERLINK("http://www.otzar.org/book.asp?27416","שירת משה")</f>
        <v>שירת משה</v>
      </c>
    </row>
    <row r="2288" spans="1:5" x14ac:dyDescent="0.2">
      <c r="A2288" t="s">
        <v>3567</v>
      </c>
      <c r="B2288" t="s">
        <v>3568</v>
      </c>
      <c r="C2288" t="s">
        <v>82</v>
      </c>
      <c r="D2288" t="s">
        <v>323</v>
      </c>
      <c r="E2288" s="3" t="str">
        <f>HYPERLINK("http://www.otzar.org/book.asp?621029","שישאר בינינו")</f>
        <v>שישאר בינינו</v>
      </c>
    </row>
    <row r="2289" spans="1:5" x14ac:dyDescent="0.2">
      <c r="A2289" t="s">
        <v>3569</v>
      </c>
      <c r="B2289" t="s">
        <v>3569</v>
      </c>
      <c r="C2289" t="s">
        <v>76</v>
      </c>
      <c r="D2289" t="s">
        <v>19</v>
      </c>
      <c r="E2289" s="3" t="str">
        <f>HYPERLINK("http://www.otzar.org/book.asp?146301","שכונת נוה שלום ירושלים")</f>
        <v>שכונת נוה שלום ירושלים</v>
      </c>
    </row>
    <row r="2290" spans="1:5" x14ac:dyDescent="0.2">
      <c r="A2290" t="s">
        <v>3570</v>
      </c>
      <c r="B2290" t="s">
        <v>3571</v>
      </c>
      <c r="C2290" t="s">
        <v>54</v>
      </c>
      <c r="D2290" t="s">
        <v>166</v>
      </c>
      <c r="E2290" s="3" t="str">
        <f>HYPERLINK("http://www.otzar.org/book.asp?169904","שלבי החינוך לתורה באור ההלכה")</f>
        <v>שלבי החינוך לתורה באור ההלכה</v>
      </c>
    </row>
    <row r="2291" spans="1:5" x14ac:dyDescent="0.2">
      <c r="A2291" t="s">
        <v>3572</v>
      </c>
      <c r="B2291" t="s">
        <v>224</v>
      </c>
      <c r="C2291" t="s">
        <v>76</v>
      </c>
      <c r="D2291" t="s">
        <v>40</v>
      </c>
      <c r="E2291" s="3" t="str">
        <f>HYPERLINK("http://www.otzar.org/book.asp?145934","שלהבת עולה מאליה")</f>
        <v>שלהבת עולה מאליה</v>
      </c>
    </row>
    <row r="2292" spans="1:5" x14ac:dyDescent="0.2">
      <c r="A2292" t="s">
        <v>412</v>
      </c>
      <c r="B2292" t="s">
        <v>412</v>
      </c>
      <c r="C2292" t="s">
        <v>18</v>
      </c>
      <c r="D2292" t="s">
        <v>12</v>
      </c>
      <c r="E2292" s="3" t="str">
        <f>HYPERLINK("http://www.otzar.org/book.asp?27413","שלוחים מספרים")</f>
        <v>שלוחים מספרים</v>
      </c>
    </row>
    <row r="2293" spans="1:5" x14ac:dyDescent="0.2">
      <c r="A2293" t="s">
        <v>3573</v>
      </c>
      <c r="B2293" t="s">
        <v>3574</v>
      </c>
      <c r="C2293" t="s">
        <v>47</v>
      </c>
      <c r="D2293" t="s">
        <v>332</v>
      </c>
      <c r="E2293" s="3" t="str">
        <f>HYPERLINK("http://www.otzar.org/book.asp?14872","שלום רב - א")</f>
        <v>שלום רב - א</v>
      </c>
    </row>
    <row r="2294" spans="1:5" x14ac:dyDescent="0.2">
      <c r="A2294" t="s">
        <v>3575</v>
      </c>
      <c r="B2294" t="s">
        <v>699</v>
      </c>
      <c r="C2294" t="s">
        <v>11</v>
      </c>
      <c r="D2294" t="s">
        <v>116</v>
      </c>
      <c r="E2294" s="3" t="str">
        <f>HYPERLINK("http://www.otzar.org/book.asp?166726","שלום שלום ואין שלום - 2 כר'")</f>
        <v>שלום שלום ואין שלום - 2 כר'</v>
      </c>
    </row>
    <row r="2295" spans="1:5" x14ac:dyDescent="0.2">
      <c r="A2295" t="s">
        <v>3576</v>
      </c>
      <c r="B2295" t="s">
        <v>3577</v>
      </c>
      <c r="C2295" t="s">
        <v>34</v>
      </c>
      <c r="D2295" t="s">
        <v>12</v>
      </c>
      <c r="E2295" s="3" t="str">
        <f>HYPERLINK("http://www.otzar.org/book.asp?157263","שלחן הזהב")</f>
        <v>שלחן הזהב</v>
      </c>
    </row>
    <row r="2296" spans="1:5" x14ac:dyDescent="0.2">
      <c r="A2296" t="s">
        <v>3578</v>
      </c>
      <c r="B2296" t="s">
        <v>108</v>
      </c>
      <c r="C2296" t="s">
        <v>76</v>
      </c>
      <c r="D2296" t="s">
        <v>116</v>
      </c>
      <c r="E2296" s="3" t="str">
        <f>HYPERLINK("http://www.otzar.org/book.asp?27543","שלחן הפסח (תדפיס מהספר)")</f>
        <v>שלחן הפסח (תדפיס מהספר)</v>
      </c>
    </row>
    <row r="2297" spans="1:5" x14ac:dyDescent="0.2">
      <c r="A2297" t="s">
        <v>3579</v>
      </c>
      <c r="B2297" t="s">
        <v>30</v>
      </c>
      <c r="C2297" t="s">
        <v>44</v>
      </c>
      <c r="D2297" t="s">
        <v>40</v>
      </c>
      <c r="E2297" s="3" t="str">
        <f>HYPERLINK("http://www.otzar.org/book.asp?175909","שלחן מנחם - 7 כר'")</f>
        <v>שלחן מנחם - 7 כר'</v>
      </c>
    </row>
    <row r="2298" spans="1:5" x14ac:dyDescent="0.2">
      <c r="A2298" t="s">
        <v>3580</v>
      </c>
      <c r="B2298" t="s">
        <v>3581</v>
      </c>
      <c r="C2298" t="s">
        <v>142</v>
      </c>
      <c r="D2298" t="s">
        <v>8</v>
      </c>
      <c r="E2298" s="3" t="str">
        <f>HYPERLINK("http://www.otzar.org/book.asp?613890","שלחן ערוך אדמו""ר הזקן המבואר - או""ח פט-קלא, קנה-קנו")</f>
        <v>שלחן ערוך אדמו"ר הזקן המבואר - או"ח פט-קלא, קנה-קנו</v>
      </c>
    </row>
    <row r="2299" spans="1:5" x14ac:dyDescent="0.2">
      <c r="A2299" t="s">
        <v>3582</v>
      </c>
      <c r="B2299" t="s">
        <v>3583</v>
      </c>
      <c r="C2299" t="s">
        <v>31</v>
      </c>
      <c r="D2299" t="s">
        <v>8</v>
      </c>
      <c r="E2299" s="3" t="str">
        <f>HYPERLINK("http://www.otzar.org/book.asp?26936","שלחן ערוך הקצר - 2 כר'")</f>
        <v>שלחן ערוך הקצר - 2 כר'</v>
      </c>
    </row>
    <row r="2300" spans="1:5" x14ac:dyDescent="0.2">
      <c r="A2300" t="s">
        <v>3584</v>
      </c>
      <c r="B2300" t="s">
        <v>24</v>
      </c>
      <c r="C2300" t="s">
        <v>73</v>
      </c>
      <c r="D2300" t="s">
        <v>8</v>
      </c>
      <c r="E2300" s="3" t="str">
        <f>HYPERLINK("http://www.otzar.org/book.asp?611921","שלחן ערוך הרב &lt;בלכתך בדרך&gt; - 43 כר'")</f>
        <v>שלחן ערוך הרב &lt;בלכתך בדרך&gt; - 43 כר'</v>
      </c>
    </row>
    <row r="2301" spans="1:5" x14ac:dyDescent="0.2">
      <c r="A2301" t="s">
        <v>3585</v>
      </c>
      <c r="B2301" t="s">
        <v>24</v>
      </c>
      <c r="C2301" t="s">
        <v>39</v>
      </c>
      <c r="D2301" t="s">
        <v>40</v>
      </c>
      <c r="E2301" s="3" t="str">
        <f>HYPERLINK("http://www.otzar.org/book.asp?141685","שלחן ערוך הרב &lt;טקסט&gt;")</f>
        <v>שלחן ערוך הרב &lt;טקסט&gt;</v>
      </c>
    </row>
    <row r="2302" spans="1:5" x14ac:dyDescent="0.2">
      <c r="A2302" t="s">
        <v>3586</v>
      </c>
      <c r="B2302" t="s">
        <v>24</v>
      </c>
      <c r="C2302" t="s">
        <v>18</v>
      </c>
      <c r="D2302" t="s">
        <v>8</v>
      </c>
      <c r="E2302" s="3" t="str">
        <f>HYPERLINK("http://www.otzar.org/book.asp?26523","שלחן ערוך הרב &lt;מנוקד&gt; - 5 כר'")</f>
        <v>שלחן ערוך הרב &lt;מנוקד&gt; - 5 כר'</v>
      </c>
    </row>
    <row r="2303" spans="1:5" x14ac:dyDescent="0.2">
      <c r="A2303" t="s">
        <v>3587</v>
      </c>
      <c r="B2303" t="s">
        <v>24</v>
      </c>
      <c r="C2303" t="s">
        <v>148</v>
      </c>
      <c r="D2303" t="s">
        <v>8</v>
      </c>
      <c r="E2303" s="3" t="str">
        <f>HYPERLINK("http://www.otzar.org/book.asp?141633","שלחן ערוך הרב &lt;עם ציונים ומקורות&gt; - 7 כר'")</f>
        <v>שלחן ערוך הרב &lt;עם ציונים ומקורות&gt; - 7 כר'</v>
      </c>
    </row>
    <row r="2304" spans="1:5" x14ac:dyDescent="0.2">
      <c r="A2304" t="s">
        <v>3588</v>
      </c>
      <c r="B2304" t="s">
        <v>24</v>
      </c>
      <c r="C2304" t="s">
        <v>52</v>
      </c>
      <c r="D2304" t="s">
        <v>8</v>
      </c>
      <c r="E2304" s="3" t="str">
        <f>HYPERLINK("http://www.otzar.org/book.asp?27807","שלחן ערוך הרב &lt;עם תרגום אנגלית&gt; - 5 כר'")</f>
        <v>שלחן ערוך הרב &lt;עם תרגום אנגלית&gt; - 5 כר'</v>
      </c>
    </row>
    <row r="2305" spans="1:5" x14ac:dyDescent="0.2">
      <c r="A2305" t="s">
        <v>3589</v>
      </c>
      <c r="B2305" t="s">
        <v>3590</v>
      </c>
      <c r="C2305" t="s">
        <v>52</v>
      </c>
      <c r="D2305" t="s">
        <v>332</v>
      </c>
      <c r="E2305" s="3" t="str">
        <f>HYPERLINK("http://www.otzar.org/book.asp?26969","שלחן ערוך הרב הל' יו""ט עם ביאור נימוקי יו""ט")</f>
        <v>שלחן ערוך הרב הל' יו"ט עם ביאור נימוקי יו"ט</v>
      </c>
    </row>
    <row r="2306" spans="1:5" x14ac:dyDescent="0.2">
      <c r="A2306" t="s">
        <v>3591</v>
      </c>
      <c r="B2306" t="s">
        <v>3592</v>
      </c>
      <c r="C2306" t="s">
        <v>350</v>
      </c>
      <c r="D2306" t="s">
        <v>8</v>
      </c>
      <c r="E2306" s="3" t="str">
        <f>HYPERLINK("http://www.otzar.org/book.asp?616801","שלחן ערוך הרב עם ביאור דברי שלום - 3 כר'")</f>
        <v>שלחן ערוך הרב עם ביאור דברי שלום - 3 כר'</v>
      </c>
    </row>
    <row r="2307" spans="1:5" x14ac:dyDescent="0.2">
      <c r="A2307" t="s">
        <v>3593</v>
      </c>
      <c r="B2307" t="s">
        <v>24</v>
      </c>
      <c r="C2307" t="s">
        <v>122</v>
      </c>
      <c r="D2307" t="s">
        <v>8</v>
      </c>
      <c r="E2307" s="3" t="str">
        <f>HYPERLINK("http://www.otzar.org/book.asp?26528","שלחן ערוך הרב - 4 כר'")</f>
        <v>שלחן ערוך הרב - 4 כר'</v>
      </c>
    </row>
    <row r="2308" spans="1:5" x14ac:dyDescent="0.2">
      <c r="A2308" t="s">
        <v>3594</v>
      </c>
      <c r="B2308" t="s">
        <v>24</v>
      </c>
      <c r="C2308" t="s">
        <v>82</v>
      </c>
      <c r="D2308" t="s">
        <v>8</v>
      </c>
      <c r="E2308" s="3" t="str">
        <f>HYPERLINK("http://www.otzar.org/book.asp?607995","שלחן ערוך - חושן משפט (תרגום ופירוש באנגלית)")</f>
        <v>שלחן ערוך - חושן משפט (תרגום ופירוש באנגלית)</v>
      </c>
    </row>
    <row r="2309" spans="1:5" x14ac:dyDescent="0.2">
      <c r="A2309" t="s">
        <v>3595</v>
      </c>
      <c r="B2309" t="s">
        <v>981</v>
      </c>
      <c r="C2309" t="s">
        <v>39</v>
      </c>
      <c r="D2309" t="s">
        <v>12</v>
      </c>
      <c r="E2309" s="3" t="str">
        <f>HYPERLINK("http://www.otzar.org/book.asp?142190","שלחן שבת")</f>
        <v>שלחן שבת</v>
      </c>
    </row>
    <row r="2310" spans="1:5" x14ac:dyDescent="0.2">
      <c r="A2310" t="s">
        <v>3596</v>
      </c>
      <c r="B2310" t="s">
        <v>1991</v>
      </c>
      <c r="C2310" t="s">
        <v>18</v>
      </c>
      <c r="D2310" t="s">
        <v>71</v>
      </c>
      <c r="E2310" s="3" t="str">
        <f>HYPERLINK("http://www.otzar.org/book.asp?27836","שליחות חיי")</f>
        <v>שליחות חיי</v>
      </c>
    </row>
    <row r="2311" spans="1:5" x14ac:dyDescent="0.2">
      <c r="A2311" t="s">
        <v>3597</v>
      </c>
      <c r="B2311" t="s">
        <v>2982</v>
      </c>
      <c r="C2311" t="s">
        <v>76</v>
      </c>
      <c r="D2311" t="s">
        <v>3598</v>
      </c>
      <c r="E2311" s="3" t="str">
        <f>HYPERLINK("http://www.otzar.org/book.asp?145734","שלם בתלמודו - 7 כר'")</f>
        <v>שלם בתלמודו - 7 כר'</v>
      </c>
    </row>
    <row r="2312" spans="1:5" x14ac:dyDescent="0.2">
      <c r="A2312" t="s">
        <v>3599</v>
      </c>
      <c r="B2312" t="s">
        <v>3600</v>
      </c>
      <c r="C2312" t="s">
        <v>129</v>
      </c>
      <c r="D2312" t="s">
        <v>40</v>
      </c>
      <c r="E2312" s="3" t="str">
        <f>HYPERLINK("http://www.otzar.org/book.asp?22080","שלמות הארץ")</f>
        <v>שלמות הארץ</v>
      </c>
    </row>
    <row r="2313" spans="1:5" x14ac:dyDescent="0.2">
      <c r="A2313" t="s">
        <v>3599</v>
      </c>
      <c r="B2313" t="s">
        <v>30</v>
      </c>
      <c r="C2313" t="s">
        <v>76</v>
      </c>
      <c r="D2313" t="s">
        <v>19</v>
      </c>
      <c r="E2313" s="3" t="str">
        <f>HYPERLINK("http://www.otzar.org/book.asp?146523","שלמות הארץ")</f>
        <v>שלמות הארץ</v>
      </c>
    </row>
    <row r="2314" spans="1:5" x14ac:dyDescent="0.2">
      <c r="A2314" t="s">
        <v>3601</v>
      </c>
      <c r="B2314" t="s">
        <v>3602</v>
      </c>
      <c r="C2314" t="s">
        <v>126</v>
      </c>
      <c r="D2314" t="s">
        <v>71</v>
      </c>
      <c r="E2314" s="3" t="str">
        <f>HYPERLINK("http://www.otzar.org/book.asp?174118","שלמות - 47 כר'")</f>
        <v>שלמות - 47 כר'</v>
      </c>
    </row>
    <row r="2315" spans="1:5" x14ac:dyDescent="0.2">
      <c r="A2315" t="s">
        <v>3603</v>
      </c>
      <c r="B2315" t="s">
        <v>3604</v>
      </c>
      <c r="C2315" t="s">
        <v>86</v>
      </c>
      <c r="D2315" t="s">
        <v>19</v>
      </c>
      <c r="E2315" s="3" t="str">
        <f>HYPERLINK("http://www.otzar.org/book.asp?146216","שלשים שנה לר""ח כסלו תשל""ח")</f>
        <v>שלשים שנה לר"ח כסלו תשל"ח</v>
      </c>
    </row>
    <row r="2316" spans="1:5" x14ac:dyDescent="0.2">
      <c r="A2316" t="s">
        <v>3605</v>
      </c>
      <c r="B2316" t="s">
        <v>3606</v>
      </c>
      <c r="C2316" t="s">
        <v>11</v>
      </c>
      <c r="D2316" t="s">
        <v>8</v>
      </c>
      <c r="E2316" s="3" t="str">
        <f>HYPERLINK("http://www.otzar.org/book.asp?164333","שלשלת היחס")</f>
        <v>שלשלת היחס</v>
      </c>
    </row>
    <row r="2317" spans="1:5" x14ac:dyDescent="0.2">
      <c r="A2317" t="s">
        <v>3607</v>
      </c>
      <c r="B2317" t="s">
        <v>3608</v>
      </c>
      <c r="C2317" t="s">
        <v>404</v>
      </c>
      <c r="D2317" t="s">
        <v>12</v>
      </c>
      <c r="E2317" s="3" t="str">
        <f>HYPERLINK("http://www.otzar.org/book.asp?11110","שמועות וסיפורים מרבותינו הקדושים - 5 כר'")</f>
        <v>שמועות וסיפורים מרבותינו הקדושים - 5 כר'</v>
      </c>
    </row>
    <row r="2318" spans="1:5" x14ac:dyDescent="0.2">
      <c r="A2318" t="s">
        <v>3609</v>
      </c>
      <c r="B2318" t="s">
        <v>545</v>
      </c>
      <c r="C2318" t="s">
        <v>31</v>
      </c>
      <c r="D2318" t="s">
        <v>40</v>
      </c>
      <c r="E2318" s="3" t="str">
        <f>HYPERLINK("http://www.otzar.org/book.asp?107176","שמועות ישראל - 4 כר'")</f>
        <v>שמועות ישראל - 4 כר'</v>
      </c>
    </row>
    <row r="2319" spans="1:5" x14ac:dyDescent="0.2">
      <c r="A2319" t="s">
        <v>3610</v>
      </c>
      <c r="B2319" t="s">
        <v>393</v>
      </c>
      <c r="C2319" t="s">
        <v>3611</v>
      </c>
      <c r="D2319" t="s">
        <v>8</v>
      </c>
      <c r="E2319" s="3" t="str">
        <f>HYPERLINK("http://www.otzar.org/book.asp?85379","שמועסן מיט קינדער - 3 כר'")</f>
        <v>שמועסן מיט קינדער - 3 כר'</v>
      </c>
    </row>
    <row r="2320" spans="1:5" x14ac:dyDescent="0.2">
      <c r="A2320" t="s">
        <v>3612</v>
      </c>
      <c r="B2320" t="s">
        <v>1052</v>
      </c>
      <c r="C2320" t="s">
        <v>183</v>
      </c>
      <c r="D2320" t="s">
        <v>8</v>
      </c>
      <c r="E2320" s="3" t="str">
        <f>HYPERLINK("http://www.otzar.org/book.asp?27420","שמחה כאתגר - הגישה החסידית")</f>
        <v>שמחה כאתגר - הגישה החסידית</v>
      </c>
    </row>
    <row r="2321" spans="1:5" x14ac:dyDescent="0.2">
      <c r="A2321" t="s">
        <v>3613</v>
      </c>
      <c r="B2321" t="s">
        <v>3614</v>
      </c>
      <c r="C2321" t="s">
        <v>155</v>
      </c>
      <c r="D2321" t="s">
        <v>3615</v>
      </c>
      <c r="E2321" s="3" t="str">
        <f>HYPERLINK("http://www.otzar.org/book.asp?141333","שמחת מלך")</f>
        <v>שמחת מלך</v>
      </c>
    </row>
    <row r="2322" spans="1:5" x14ac:dyDescent="0.2">
      <c r="A2322" t="s">
        <v>3616</v>
      </c>
      <c r="B2322" t="s">
        <v>3617</v>
      </c>
      <c r="C2322" t="s">
        <v>122</v>
      </c>
      <c r="D2322" t="s">
        <v>40</v>
      </c>
      <c r="E2322" s="3" t="str">
        <f>HYPERLINK("http://www.otzar.org/book.asp?141453","שמחת סיום הרמב""ם מחזור חמישי")</f>
        <v>שמחת סיום הרמב"ם מחזור חמישי</v>
      </c>
    </row>
    <row r="2323" spans="1:5" x14ac:dyDescent="0.2">
      <c r="A2323" t="s">
        <v>3618</v>
      </c>
      <c r="B2323" t="s">
        <v>3619</v>
      </c>
      <c r="C2323" t="s">
        <v>152</v>
      </c>
      <c r="D2323" t="s">
        <v>12</v>
      </c>
      <c r="E2323" s="3" t="str">
        <f>HYPERLINK("http://www.otzar.org/book.asp?27439","שמחת עולם")</f>
        <v>שמחת עולם</v>
      </c>
    </row>
    <row r="2324" spans="1:5" x14ac:dyDescent="0.2">
      <c r="A2324" t="s">
        <v>3620</v>
      </c>
      <c r="B2324" t="s">
        <v>207</v>
      </c>
      <c r="C2324" t="s">
        <v>350</v>
      </c>
      <c r="D2324" t="s">
        <v>8</v>
      </c>
      <c r="E2324" s="3" t="str">
        <f>HYPERLINK("http://www.otzar.org/book.asp?607744","שמחת תורה")</f>
        <v>שמחת תורה</v>
      </c>
    </row>
    <row r="2325" spans="1:5" x14ac:dyDescent="0.2">
      <c r="A2325" t="s">
        <v>3621</v>
      </c>
      <c r="B2325" t="s">
        <v>3622</v>
      </c>
      <c r="C2325" t="s">
        <v>82</v>
      </c>
      <c r="D2325" t="s">
        <v>80</v>
      </c>
      <c r="E2325" s="3" t="str">
        <f>HYPERLINK("http://www.otzar.org/book.asp?607863","שמחת תורה - ענייני דיומא")</f>
        <v>שמחת תורה - ענייני דיומא</v>
      </c>
    </row>
    <row r="2326" spans="1:5" x14ac:dyDescent="0.2">
      <c r="A2326" t="s">
        <v>3623</v>
      </c>
      <c r="B2326" t="s">
        <v>108</v>
      </c>
      <c r="C2326" t="s">
        <v>60</v>
      </c>
      <c r="D2326" t="s">
        <v>3021</v>
      </c>
      <c r="E2326" s="3" t="str">
        <f>HYPERLINK("http://www.otzar.org/book.asp?146308","שמים חדשים")</f>
        <v>שמים חדשים</v>
      </c>
    </row>
    <row r="2327" spans="1:5" x14ac:dyDescent="0.2">
      <c r="A2327" t="s">
        <v>3624</v>
      </c>
      <c r="B2327" t="s">
        <v>194</v>
      </c>
      <c r="C2327" t="s">
        <v>34</v>
      </c>
      <c r="D2327" t="s">
        <v>12</v>
      </c>
      <c r="E2327" s="3" t="str">
        <f>HYPERLINK("http://www.otzar.org/book.asp?157292","שמירת הברכות")</f>
        <v>שמירת הברכות</v>
      </c>
    </row>
    <row r="2328" spans="1:5" x14ac:dyDescent="0.2">
      <c r="A2328" t="s">
        <v>3625</v>
      </c>
      <c r="B2328" t="s">
        <v>194</v>
      </c>
      <c r="C2328" t="s">
        <v>54</v>
      </c>
      <c r="D2328" t="s">
        <v>12</v>
      </c>
      <c r="E2328" s="3" t="str">
        <f>HYPERLINK("http://www.otzar.org/book.asp?173577","שמירת הטהרה")</f>
        <v>שמירת הטהרה</v>
      </c>
    </row>
    <row r="2329" spans="1:5" x14ac:dyDescent="0.2">
      <c r="A2329" t="s">
        <v>3626</v>
      </c>
      <c r="B2329" t="s">
        <v>194</v>
      </c>
      <c r="C2329" t="s">
        <v>44</v>
      </c>
      <c r="D2329" t="s">
        <v>12</v>
      </c>
      <c r="E2329" s="3" t="str">
        <f>HYPERLINK("http://www.otzar.org/book.asp?175916","שמירת המצוות לאישה ולבת")</f>
        <v>שמירת המצוות לאישה ולבת</v>
      </c>
    </row>
    <row r="2330" spans="1:5" x14ac:dyDescent="0.2">
      <c r="A2330" t="s">
        <v>3627</v>
      </c>
      <c r="B2330" t="s">
        <v>194</v>
      </c>
      <c r="C2330" t="s">
        <v>76</v>
      </c>
      <c r="D2330" t="s">
        <v>12</v>
      </c>
      <c r="E2330" s="3" t="str">
        <f>HYPERLINK("http://www.otzar.org/book.asp?170054","שמירת השבת")</f>
        <v>שמירת השבת</v>
      </c>
    </row>
    <row r="2331" spans="1:5" x14ac:dyDescent="0.2">
      <c r="A2331" t="s">
        <v>3628</v>
      </c>
      <c r="B2331" t="s">
        <v>194</v>
      </c>
      <c r="C2331" t="s">
        <v>73</v>
      </c>
      <c r="D2331" t="s">
        <v>12</v>
      </c>
      <c r="E2331" s="3" t="str">
        <f>HYPERLINK("http://www.otzar.org/book.asp?181649","שמירת השמחות")</f>
        <v>שמירת השמחות</v>
      </c>
    </row>
    <row r="2332" spans="1:5" x14ac:dyDescent="0.2">
      <c r="A2332" t="s">
        <v>3629</v>
      </c>
      <c r="B2332" t="s">
        <v>194</v>
      </c>
      <c r="C2332" t="s">
        <v>11</v>
      </c>
      <c r="D2332" t="s">
        <v>181</v>
      </c>
      <c r="E2332" s="3" t="str">
        <f>HYPERLINK("http://www.otzar.org/book.asp?164370","שמירת התפילה - מהדו""א")</f>
        <v>שמירת התפילה - מהדו"א</v>
      </c>
    </row>
    <row r="2333" spans="1:5" x14ac:dyDescent="0.2">
      <c r="A2333" t="s">
        <v>3630</v>
      </c>
      <c r="B2333" t="s">
        <v>194</v>
      </c>
      <c r="C2333" t="s">
        <v>11</v>
      </c>
      <c r="D2333" t="s">
        <v>181</v>
      </c>
      <c r="E2333" s="3" t="str">
        <f>HYPERLINK("http://www.otzar.org/book.asp?164372","שמירת מצוות היום")</f>
        <v>שמירת מצוות היום</v>
      </c>
    </row>
    <row r="2334" spans="1:5" x14ac:dyDescent="0.2">
      <c r="A2334" t="s">
        <v>3631</v>
      </c>
      <c r="B2334" t="s">
        <v>3632</v>
      </c>
      <c r="C2334" t="s">
        <v>76</v>
      </c>
      <c r="D2334" t="s">
        <v>19</v>
      </c>
      <c r="E2334" s="3" t="str">
        <f>HYPERLINK("http://www.otzar.org/book.asp?611980","שמלה חדשה עם בגדי מלכות (תדפיס)")</f>
        <v>שמלה חדשה עם בגדי מלכות (תדפיס)</v>
      </c>
    </row>
    <row r="2335" spans="1:5" x14ac:dyDescent="0.2">
      <c r="A2335" t="s">
        <v>3633</v>
      </c>
      <c r="B2335" t="s">
        <v>24</v>
      </c>
      <c r="C2335" t="s">
        <v>3634</v>
      </c>
      <c r="D2335" t="s">
        <v>2669</v>
      </c>
      <c r="E2335" s="3" t="str">
        <f>HYPERLINK("http://www.otzar.org/book.asp?103651","שני המאורות")</f>
        <v>שני המאורות</v>
      </c>
    </row>
    <row r="2336" spans="1:5" x14ac:dyDescent="0.2">
      <c r="A2336" t="s">
        <v>3635</v>
      </c>
      <c r="B2336" t="s">
        <v>30</v>
      </c>
      <c r="C2336" t="s">
        <v>129</v>
      </c>
      <c r="D2336" t="s">
        <v>8</v>
      </c>
      <c r="E2336" s="3" t="str">
        <f>HYPERLINK("http://www.otzar.org/book.asp?26620","שנים אוחזין בטלית")</f>
        <v>שנים אוחזין בטלית</v>
      </c>
    </row>
    <row r="2337" spans="1:5" x14ac:dyDescent="0.2">
      <c r="A2337" t="s">
        <v>3636</v>
      </c>
      <c r="B2337" t="s">
        <v>108</v>
      </c>
      <c r="C2337" t="s">
        <v>126</v>
      </c>
      <c r="D2337" t="s">
        <v>12</v>
      </c>
      <c r="E2337" s="3" t="str">
        <f>HYPERLINK("http://www.otzar.org/book.asp?27739","שעורי התמימים")</f>
        <v>שעורי התמימים</v>
      </c>
    </row>
    <row r="2338" spans="1:5" x14ac:dyDescent="0.2">
      <c r="A2338" t="s">
        <v>3637</v>
      </c>
      <c r="B2338" t="s">
        <v>108</v>
      </c>
      <c r="C2338" t="s">
        <v>301</v>
      </c>
      <c r="D2338" t="s">
        <v>116</v>
      </c>
      <c r="E2338" s="3" t="str">
        <f>HYPERLINK("http://www.otzar.org/book.asp?27474","שער הדרום")</f>
        <v>שער הדרום</v>
      </c>
    </row>
    <row r="2339" spans="1:5" x14ac:dyDescent="0.2">
      <c r="A2339" t="s">
        <v>3638</v>
      </c>
      <c r="B2339" t="s">
        <v>3639</v>
      </c>
      <c r="C2339" t="s">
        <v>15</v>
      </c>
      <c r="D2339" t="s">
        <v>19</v>
      </c>
      <c r="E2339" s="3" t="str">
        <f>HYPERLINK("http://www.otzar.org/book.asp?189069","שער היחוד והאמונה &lt;עם ביאור המאור שבתורה&gt;")</f>
        <v>שער היחוד והאמונה &lt;עם ביאור המאור שבתורה&gt;</v>
      </c>
    </row>
    <row r="2340" spans="1:5" x14ac:dyDescent="0.2">
      <c r="A2340" t="s">
        <v>3640</v>
      </c>
      <c r="B2340" t="s">
        <v>75</v>
      </c>
      <c r="C2340" t="s">
        <v>44</v>
      </c>
      <c r="D2340" t="s">
        <v>40</v>
      </c>
      <c r="E2340" s="3" t="str">
        <f>HYPERLINK("http://www.otzar.org/book.asp?173503","שער היחוד והאמונה עם פירוש ועיונים")</f>
        <v>שער היחוד והאמונה עם פירוש ועיונים</v>
      </c>
    </row>
    <row r="2341" spans="1:5" x14ac:dyDescent="0.2">
      <c r="A2341" t="s">
        <v>3641</v>
      </c>
      <c r="B2341" t="s">
        <v>75</v>
      </c>
      <c r="C2341" t="s">
        <v>76</v>
      </c>
      <c r="D2341" t="s">
        <v>19</v>
      </c>
      <c r="E2341" s="3" t="str">
        <f>HYPERLINK("http://www.otzar.org/book.asp?167748","שער היחוד והאמונה עם שיעורי הרב יואל כהן")</f>
        <v>שער היחוד והאמונה עם שיעורי הרב יואל כהן</v>
      </c>
    </row>
    <row r="2342" spans="1:5" x14ac:dyDescent="0.2">
      <c r="A2342" t="s">
        <v>3642</v>
      </c>
      <c r="B2342" t="s">
        <v>564</v>
      </c>
      <c r="C2342" t="s">
        <v>126</v>
      </c>
      <c r="D2342" t="s">
        <v>40</v>
      </c>
      <c r="E2342" s="3" t="str">
        <f>HYPERLINK("http://www.otzar.org/book.asp?141455","שער היחוד")</f>
        <v>שער היחוד</v>
      </c>
    </row>
    <row r="2343" spans="1:5" x14ac:dyDescent="0.2">
      <c r="A2343" t="s">
        <v>3643</v>
      </c>
      <c r="B2343" t="s">
        <v>2841</v>
      </c>
      <c r="C2343" t="s">
        <v>3644</v>
      </c>
      <c r="D2343" t="s">
        <v>3645</v>
      </c>
      <c r="E2343" s="3" t="str">
        <f>HYPERLINK("http://www.otzar.org/book.asp?23498","שער הכולל - 2 כר'")</f>
        <v>שער הכולל - 2 כר'</v>
      </c>
    </row>
    <row r="2344" spans="1:5" x14ac:dyDescent="0.2">
      <c r="A2344" t="s">
        <v>3646</v>
      </c>
      <c r="B2344" t="s">
        <v>2667</v>
      </c>
      <c r="C2344" t="s">
        <v>2767</v>
      </c>
      <c r="D2344" t="s">
        <v>3647</v>
      </c>
      <c r="E2344" s="3" t="str">
        <f>HYPERLINK("http://www.otzar.org/book.asp?6446","שער התפלה")</f>
        <v>שער התפלה</v>
      </c>
    </row>
    <row r="2345" spans="1:5" x14ac:dyDescent="0.2">
      <c r="A2345" t="s">
        <v>3648</v>
      </c>
      <c r="B2345" t="s">
        <v>43</v>
      </c>
      <c r="C2345" t="s">
        <v>39</v>
      </c>
      <c r="D2345" t="s">
        <v>40</v>
      </c>
      <c r="E2345" s="3" t="str">
        <f>HYPERLINK("http://www.otzar.org/book.asp?141714","שער התשובה והתפלה &lt;טקסט&gt;")</f>
        <v>שער התשובה והתפלה &lt;טקסט&gt;</v>
      </c>
    </row>
    <row r="2346" spans="1:5" x14ac:dyDescent="0.2">
      <c r="A2346" t="s">
        <v>3649</v>
      </c>
      <c r="B2346" t="s">
        <v>43</v>
      </c>
      <c r="C2346" t="s">
        <v>3650</v>
      </c>
      <c r="D2346" t="s">
        <v>3651</v>
      </c>
      <c r="E2346" s="3" t="str">
        <f>HYPERLINK("http://www.otzar.org/book.asp?104229","שער התשובה והתפלה - א")</f>
        <v>שער התשובה והתפלה - א</v>
      </c>
    </row>
    <row r="2347" spans="1:5" x14ac:dyDescent="0.2">
      <c r="A2347" t="s">
        <v>3652</v>
      </c>
      <c r="B2347" t="s">
        <v>30</v>
      </c>
      <c r="C2347" t="s">
        <v>18</v>
      </c>
      <c r="D2347" t="s">
        <v>40</v>
      </c>
      <c r="E2347" s="3" t="str">
        <f>HYPERLINK("http://www.otzar.org/book.asp?22067","שערי אהבת ישראל")</f>
        <v>שערי אהבת ישראל</v>
      </c>
    </row>
    <row r="2348" spans="1:5" x14ac:dyDescent="0.2">
      <c r="A2348" t="s">
        <v>3653</v>
      </c>
      <c r="B2348" t="s">
        <v>43</v>
      </c>
      <c r="C2348" t="s">
        <v>39</v>
      </c>
      <c r="D2348" t="s">
        <v>40</v>
      </c>
      <c r="E2348" s="3" t="str">
        <f>HYPERLINK("http://www.otzar.org/book.asp?141715","שערי אורה &lt;טקסט&gt;")</f>
        <v>שערי אורה &lt;טקסט&gt;</v>
      </c>
    </row>
    <row r="2349" spans="1:5" x14ac:dyDescent="0.2">
      <c r="A2349" t="s">
        <v>3654</v>
      </c>
      <c r="B2349" t="s">
        <v>43</v>
      </c>
      <c r="C2349" t="s">
        <v>3655</v>
      </c>
      <c r="D2349" t="s">
        <v>3094</v>
      </c>
      <c r="E2349" s="3" t="str">
        <f>HYPERLINK("http://www.otzar.org/book.asp?100742","שערי אורה - 2 כר'")</f>
        <v>שערי אורה - 2 כר'</v>
      </c>
    </row>
    <row r="2350" spans="1:5" x14ac:dyDescent="0.2">
      <c r="A2350" t="s">
        <v>3656</v>
      </c>
      <c r="B2350" t="s">
        <v>30</v>
      </c>
      <c r="C2350" t="s">
        <v>22</v>
      </c>
      <c r="D2350" t="s">
        <v>40</v>
      </c>
      <c r="E2350" s="3" t="str">
        <f>HYPERLINK("http://www.otzar.org/book.asp?22066","שערי אמונה - 2 כר'")</f>
        <v>שערי אמונה - 2 כר'</v>
      </c>
    </row>
    <row r="2351" spans="1:5" x14ac:dyDescent="0.2">
      <c r="A2351" t="s">
        <v>3657</v>
      </c>
      <c r="B2351" t="s">
        <v>30</v>
      </c>
      <c r="C2351" t="s">
        <v>67</v>
      </c>
      <c r="D2351" t="s">
        <v>40</v>
      </c>
      <c r="E2351" s="3" t="str">
        <f>HYPERLINK("http://www.otzar.org/book.asp?22070","שערי ארץ ישראל")</f>
        <v>שערי ארץ ישראל</v>
      </c>
    </row>
    <row r="2352" spans="1:5" x14ac:dyDescent="0.2">
      <c r="A2352" t="s">
        <v>3658</v>
      </c>
      <c r="B2352" t="s">
        <v>30</v>
      </c>
      <c r="C2352" t="s">
        <v>31</v>
      </c>
      <c r="D2352" t="s">
        <v>40</v>
      </c>
      <c r="E2352" s="3" t="str">
        <f>HYPERLINK("http://www.otzar.org/book.asp?22068","שערי גאולה - 2 כר'")</f>
        <v>שערי גאולה - 2 כר'</v>
      </c>
    </row>
    <row r="2353" spans="1:5" x14ac:dyDescent="0.2">
      <c r="A2353" t="s">
        <v>3659</v>
      </c>
      <c r="B2353" t="s">
        <v>2667</v>
      </c>
      <c r="C2353" t="s">
        <v>3660</v>
      </c>
      <c r="D2353" t="s">
        <v>3651</v>
      </c>
      <c r="E2353" s="3" t="str">
        <f>HYPERLINK("http://www.otzar.org/book.asp?104238","שערי היחוד ואמונה - 2 כר'")</f>
        <v>שערי היחוד ואמונה - 2 כר'</v>
      </c>
    </row>
    <row r="2354" spans="1:5" x14ac:dyDescent="0.2">
      <c r="A2354" t="s">
        <v>3661</v>
      </c>
      <c r="B2354" t="s">
        <v>30</v>
      </c>
      <c r="C2354" t="s">
        <v>477</v>
      </c>
      <c r="D2354" t="s">
        <v>40</v>
      </c>
      <c r="E2354" s="3" t="str">
        <f>HYPERLINK("http://www.otzar.org/book.asp?22060","שערי הלכה ומנהג - 5 כר'")</f>
        <v>שערי הלכה ומנהג - 5 כר'</v>
      </c>
    </row>
    <row r="2355" spans="1:5" x14ac:dyDescent="0.2">
      <c r="A2355" t="s">
        <v>3662</v>
      </c>
      <c r="B2355" t="s">
        <v>30</v>
      </c>
      <c r="C2355" t="s">
        <v>119</v>
      </c>
      <c r="D2355" t="s">
        <v>40</v>
      </c>
      <c r="E2355" s="3" t="str">
        <f>HYPERLINK("http://www.otzar.org/book.asp?22055","שערי המועדים - 14 כר'")</f>
        <v>שערי המועדים - 14 כר'</v>
      </c>
    </row>
    <row r="2356" spans="1:5" x14ac:dyDescent="0.2">
      <c r="A2356" t="s">
        <v>3663</v>
      </c>
      <c r="B2356" t="s">
        <v>108</v>
      </c>
      <c r="C2356" t="s">
        <v>276</v>
      </c>
      <c r="D2356" t="s">
        <v>556</v>
      </c>
      <c r="E2356" s="3" t="str">
        <f>HYPERLINK("http://www.otzar.org/book.asp?145780","שערי התמימים - 20 כר'")</f>
        <v>שערי התמימים - 20 כר'</v>
      </c>
    </row>
    <row r="2357" spans="1:5" x14ac:dyDescent="0.2">
      <c r="A2357" t="s">
        <v>3664</v>
      </c>
      <c r="B2357" t="s">
        <v>30</v>
      </c>
      <c r="C2357" t="s">
        <v>39</v>
      </c>
      <c r="D2357" t="s">
        <v>40</v>
      </c>
      <c r="E2357" s="3" t="str">
        <f>HYPERLINK("http://www.otzar.org/book.asp?53170","שערי חינוך")</f>
        <v>שערי חינוך</v>
      </c>
    </row>
    <row r="2358" spans="1:5" x14ac:dyDescent="0.2">
      <c r="A2358" t="s">
        <v>3665</v>
      </c>
      <c r="B2358" t="s">
        <v>3666</v>
      </c>
      <c r="C2358" t="s">
        <v>673</v>
      </c>
      <c r="D2358" t="s">
        <v>92</v>
      </c>
      <c r="E2358" s="3" t="str">
        <f>HYPERLINK("http://www.otzar.org/book.asp?141249","שערי יהודה - 2 כר'")</f>
        <v>שערי יהודה - 2 כר'</v>
      </c>
    </row>
    <row r="2359" spans="1:5" x14ac:dyDescent="0.2">
      <c r="A2359" t="s">
        <v>3667</v>
      </c>
      <c r="B2359" t="s">
        <v>1938</v>
      </c>
      <c r="C2359" t="s">
        <v>191</v>
      </c>
      <c r="D2359" t="s">
        <v>12</v>
      </c>
      <c r="E2359" s="3" t="str">
        <f>HYPERLINK("http://www.otzar.org/book.asp?150693","שערי יורה דעה - ב (מליחה)")</f>
        <v>שערי יורה דעה - ב (מליחה)</v>
      </c>
    </row>
    <row r="2360" spans="1:5" x14ac:dyDescent="0.2">
      <c r="A2360" t="s">
        <v>3668</v>
      </c>
      <c r="B2360" t="s">
        <v>108</v>
      </c>
      <c r="C2360" t="s">
        <v>115</v>
      </c>
      <c r="D2360" t="s">
        <v>1006</v>
      </c>
      <c r="E2360" s="3" t="str">
        <f>HYPERLINK("http://www.otzar.org/book.asp?145779","שערי ישיבה גדולה - 12 כר'")</f>
        <v>שערי ישיבה גדולה - 12 כר'</v>
      </c>
    </row>
    <row r="2361" spans="1:5" x14ac:dyDescent="0.2">
      <c r="A2361" t="s">
        <v>3669</v>
      </c>
      <c r="B2361" t="s">
        <v>108</v>
      </c>
      <c r="C2361" t="s">
        <v>448</v>
      </c>
      <c r="D2361" t="s">
        <v>249</v>
      </c>
      <c r="E2361" s="3" t="str">
        <f>HYPERLINK("http://www.otzar.org/book.asp?27335","שערי ישיבה - 14 כר'")</f>
        <v>שערי ישיבה - 14 כר'</v>
      </c>
    </row>
    <row r="2362" spans="1:5" x14ac:dyDescent="0.2">
      <c r="A2362" t="s">
        <v>3670</v>
      </c>
      <c r="B2362" t="s">
        <v>30</v>
      </c>
      <c r="C2362" t="s">
        <v>152</v>
      </c>
      <c r="D2362" t="s">
        <v>8</v>
      </c>
      <c r="E2362" s="3" t="str">
        <f>HYPERLINK("http://www.otzar.org/book.asp?164371","שערי לימוד החסידות")</f>
        <v>שערי לימוד החסידות</v>
      </c>
    </row>
    <row r="2363" spans="1:5" x14ac:dyDescent="0.2">
      <c r="A2363" t="s">
        <v>3671</v>
      </c>
      <c r="B2363" t="s">
        <v>30</v>
      </c>
      <c r="C2363" t="s">
        <v>111</v>
      </c>
      <c r="D2363" t="s">
        <v>40</v>
      </c>
      <c r="E2363" s="3" t="str">
        <f>HYPERLINK("http://www.otzar.org/book.asp?22072","שערי מילה")</f>
        <v>שערי מילה</v>
      </c>
    </row>
    <row r="2364" spans="1:5" x14ac:dyDescent="0.2">
      <c r="A2364" t="s">
        <v>3672</v>
      </c>
      <c r="B2364" t="s">
        <v>30</v>
      </c>
      <c r="C2364" t="s">
        <v>39</v>
      </c>
      <c r="D2364" t="s">
        <v>40</v>
      </c>
      <c r="E2364" s="3" t="str">
        <f>HYPERLINK("http://www.otzar.org/book.asp?53169","שערי נישואין")</f>
        <v>שערי נישואין</v>
      </c>
    </row>
    <row r="2365" spans="1:5" x14ac:dyDescent="0.2">
      <c r="A2365" t="s">
        <v>3673</v>
      </c>
      <c r="B2365" t="s">
        <v>2443</v>
      </c>
      <c r="C2365" t="s">
        <v>49</v>
      </c>
      <c r="D2365" t="s">
        <v>8</v>
      </c>
      <c r="E2365" s="3" t="str">
        <f>HYPERLINK("http://www.otzar.org/book.asp?143260","שערי ספר התניא - 4 כר'")</f>
        <v>שערי ספר התניא - 4 כר'</v>
      </c>
    </row>
    <row r="2366" spans="1:5" x14ac:dyDescent="0.2">
      <c r="A2366" t="s">
        <v>3674</v>
      </c>
      <c r="B2366" t="s">
        <v>2667</v>
      </c>
      <c r="C2366" t="s">
        <v>3675</v>
      </c>
      <c r="D2366" t="s">
        <v>3651</v>
      </c>
      <c r="E2366" s="3" t="str">
        <f>HYPERLINK("http://www.otzar.org/book.asp?5933","שערי עבודה")</f>
        <v>שערי עבודה</v>
      </c>
    </row>
    <row r="2367" spans="1:5" x14ac:dyDescent="0.2">
      <c r="A2367" t="s">
        <v>3676</v>
      </c>
      <c r="B2367" t="s">
        <v>3677</v>
      </c>
      <c r="C2367" t="s">
        <v>73</v>
      </c>
      <c r="D2367" t="s">
        <v>116</v>
      </c>
      <c r="E2367" s="3" t="str">
        <f>HYPERLINK("http://www.otzar.org/book.asp?607665","שערי עיון")</f>
        <v>שערי עיון</v>
      </c>
    </row>
    <row r="2368" spans="1:5" x14ac:dyDescent="0.2">
      <c r="A2368" t="s">
        <v>3678</v>
      </c>
      <c r="B2368" t="s">
        <v>1780</v>
      </c>
      <c r="C2368" t="s">
        <v>18</v>
      </c>
      <c r="D2368" t="s">
        <v>8</v>
      </c>
      <c r="E2368" s="3" t="str">
        <f>HYPERLINK("http://www.otzar.org/book.asp?26468","שערי עיונים בדא""ח")</f>
        <v>שערי עיונים בדא"ח</v>
      </c>
    </row>
    <row r="2369" spans="1:5" x14ac:dyDescent="0.2">
      <c r="A2369" t="s">
        <v>3679</v>
      </c>
      <c r="B2369" t="s">
        <v>30</v>
      </c>
      <c r="C2369" t="s">
        <v>152</v>
      </c>
      <c r="D2369" t="s">
        <v>40</v>
      </c>
      <c r="E2369" s="3" t="str">
        <f>HYPERLINK("http://www.otzar.org/book.asp?22071","שערי צדקה")</f>
        <v>שערי צדקה</v>
      </c>
    </row>
    <row r="2370" spans="1:5" x14ac:dyDescent="0.2">
      <c r="A2370" t="s">
        <v>3680</v>
      </c>
      <c r="B2370" t="s">
        <v>3681</v>
      </c>
      <c r="C2370" t="s">
        <v>49</v>
      </c>
      <c r="D2370" t="s">
        <v>40</v>
      </c>
      <c r="E2370" s="3" t="str">
        <f>HYPERLINK("http://www.otzar.org/book.asp?154716","שערי ציון")</f>
        <v>שערי ציון</v>
      </c>
    </row>
    <row r="2371" spans="1:5" x14ac:dyDescent="0.2">
      <c r="A2371" t="s">
        <v>3682</v>
      </c>
      <c r="B2371" t="s">
        <v>30</v>
      </c>
      <c r="C2371" t="s">
        <v>86</v>
      </c>
      <c r="D2371" t="s">
        <v>40</v>
      </c>
      <c r="E2371" s="3" t="str">
        <f>HYPERLINK("http://www.otzar.org/book.asp?144968","שערי שידוכין")</f>
        <v>שערי שידוכין</v>
      </c>
    </row>
    <row r="2372" spans="1:5" x14ac:dyDescent="0.2">
      <c r="A2372" t="s">
        <v>3683</v>
      </c>
      <c r="B2372" t="s">
        <v>2698</v>
      </c>
      <c r="C2372" t="s">
        <v>165</v>
      </c>
      <c r="D2372" t="s">
        <v>1150</v>
      </c>
      <c r="E2372" s="3" t="str">
        <f>HYPERLINK("http://www.otzar.org/book.asp?26515","שערי שלום")</f>
        <v>שערי שלום</v>
      </c>
    </row>
    <row r="2373" spans="1:5" x14ac:dyDescent="0.2">
      <c r="A2373" t="s">
        <v>3684</v>
      </c>
      <c r="B2373" t="s">
        <v>30</v>
      </c>
      <c r="C2373" t="s">
        <v>18</v>
      </c>
      <c r="D2373" t="s">
        <v>40</v>
      </c>
      <c r="E2373" s="3" t="str">
        <f>HYPERLINK("http://www.otzar.org/book.asp?22065","שערי שמיטה")</f>
        <v>שערי שמיטה</v>
      </c>
    </row>
    <row r="2374" spans="1:5" x14ac:dyDescent="0.2">
      <c r="A2374" t="s">
        <v>3685</v>
      </c>
      <c r="B2374" t="s">
        <v>108</v>
      </c>
      <c r="C2374" t="s">
        <v>11</v>
      </c>
      <c r="D2374" t="s">
        <v>3686</v>
      </c>
      <c r="E2374" s="3" t="str">
        <f>HYPERLINK("http://www.otzar.org/book.asp?165186","שערי תורה &lt;חב""ד טבריא&gt; - א")</f>
        <v>שערי תורה &lt;חב"ד טבריא&gt; - א</v>
      </c>
    </row>
    <row r="2375" spans="1:5" x14ac:dyDescent="0.2">
      <c r="A2375" t="s">
        <v>3687</v>
      </c>
      <c r="B2375" t="s">
        <v>108</v>
      </c>
      <c r="C2375" t="s">
        <v>126</v>
      </c>
      <c r="D2375" t="s">
        <v>3688</v>
      </c>
      <c r="E2375" s="3" t="str">
        <f>HYPERLINK("http://www.otzar.org/book.asp?145474","שערי תורה &lt;חב""ד קאראקס&gt; - 3 כר'")</f>
        <v>שערי תורה &lt;חב"ד קאראקס&gt; - 3 כר'</v>
      </c>
    </row>
    <row r="2376" spans="1:5" x14ac:dyDescent="0.2">
      <c r="A2376" t="s">
        <v>3689</v>
      </c>
      <c r="B2376" t="s">
        <v>108</v>
      </c>
      <c r="C2376" t="s">
        <v>58</v>
      </c>
      <c r="D2376" t="s">
        <v>3688</v>
      </c>
      <c r="E2376" s="3" t="str">
        <f>HYPERLINK("http://www.otzar.org/book.asp?27903","שערי תורה &lt;חב""ד קרית גת&gt; - א")</f>
        <v>שערי תורה &lt;חב"ד קרית גת&gt; - א</v>
      </c>
    </row>
    <row r="2377" spans="1:5" x14ac:dyDescent="0.2">
      <c r="A2377" t="s">
        <v>3690</v>
      </c>
      <c r="B2377" t="s">
        <v>918</v>
      </c>
      <c r="C2377" t="s">
        <v>73</v>
      </c>
      <c r="D2377" t="s">
        <v>12</v>
      </c>
      <c r="E2377" s="3" t="str">
        <f>HYPERLINK("http://www.otzar.org/book.asp?181495","שערי תפילה ומנהג - 2 כר'")</f>
        <v>שערי תפילה ומנהג - 2 כר'</v>
      </c>
    </row>
    <row r="2378" spans="1:5" x14ac:dyDescent="0.2">
      <c r="A2378" t="s">
        <v>3691</v>
      </c>
      <c r="B2378" t="s">
        <v>30</v>
      </c>
      <c r="C2378" t="s">
        <v>191</v>
      </c>
      <c r="D2378" t="s">
        <v>40</v>
      </c>
      <c r="E2378" s="3" t="str">
        <f>HYPERLINK("http://www.otzar.org/book.asp?85021","שערי תפילה")</f>
        <v>שערי תפילה</v>
      </c>
    </row>
    <row r="2379" spans="1:5" x14ac:dyDescent="0.2">
      <c r="A2379" t="s">
        <v>3692</v>
      </c>
      <c r="B2379" t="s">
        <v>43</v>
      </c>
      <c r="C2379" t="s">
        <v>1918</v>
      </c>
      <c r="D2379" t="s">
        <v>3693</v>
      </c>
      <c r="E2379" s="3" t="str">
        <f>HYPERLINK("http://www.otzar.org/book.asp?14782","שערי תשובה - 2 כר'")</f>
        <v>שערי תשובה - 2 כר'</v>
      </c>
    </row>
    <row r="2380" spans="1:5" x14ac:dyDescent="0.2">
      <c r="A2380" t="s">
        <v>3694</v>
      </c>
      <c r="B2380" t="s">
        <v>33</v>
      </c>
      <c r="C2380" t="s">
        <v>15</v>
      </c>
      <c r="D2380" t="s">
        <v>12</v>
      </c>
      <c r="E2380" s="3" t="str">
        <f>HYPERLINK("http://www.otzar.org/book.asp?195652","שפתי חיים")</f>
        <v>שפתי חיים</v>
      </c>
    </row>
    <row r="2381" spans="1:5" x14ac:dyDescent="0.2">
      <c r="A2381" t="s">
        <v>3695</v>
      </c>
      <c r="B2381" t="s">
        <v>1268</v>
      </c>
      <c r="C2381" t="s">
        <v>44</v>
      </c>
      <c r="D2381" t="s">
        <v>19</v>
      </c>
      <c r="E2381" s="3" t="str">
        <f>HYPERLINK("http://www.otzar.org/book.asp?623762","שש אנכי על אמרתך")</f>
        <v>שש אנכי על אמרתך</v>
      </c>
    </row>
    <row r="2382" spans="1:5" x14ac:dyDescent="0.2">
      <c r="A2382" t="s">
        <v>3696</v>
      </c>
      <c r="B2382" t="s">
        <v>3697</v>
      </c>
      <c r="C2382" t="s">
        <v>44</v>
      </c>
      <c r="D2382" t="s">
        <v>375</v>
      </c>
      <c r="E2382" s="3" t="str">
        <f>HYPERLINK("http://www.otzar.org/book.asp?171803","שש על אמרתך - בר מצוה")</f>
        <v>שש על אמרתך - בר מצוה</v>
      </c>
    </row>
    <row r="2383" spans="1:5" x14ac:dyDescent="0.2">
      <c r="A2383" t="s">
        <v>3698</v>
      </c>
      <c r="B2383" t="s">
        <v>108</v>
      </c>
      <c r="C2383" t="s">
        <v>73</v>
      </c>
      <c r="D2383" t="s">
        <v>8</v>
      </c>
      <c r="E2383" s="3" t="str">
        <f>HYPERLINK("http://www.otzar.org/book.asp?181634","תא חזי")</f>
        <v>תא חזי</v>
      </c>
    </row>
    <row r="2384" spans="1:5" x14ac:dyDescent="0.2">
      <c r="A2384" t="s">
        <v>3699</v>
      </c>
      <c r="B2384" t="s">
        <v>326</v>
      </c>
      <c r="C2384" t="s">
        <v>152</v>
      </c>
      <c r="D2384" t="s">
        <v>12</v>
      </c>
      <c r="E2384" s="3" t="str">
        <f>HYPERLINK("http://www.otzar.org/book.asp?26943","תאריכים בדברי ימי חב""ד")</f>
        <v>תאריכים בדברי ימי חב"ד</v>
      </c>
    </row>
    <row r="2385" spans="1:5" x14ac:dyDescent="0.2">
      <c r="A2385" t="s">
        <v>3700</v>
      </c>
      <c r="B2385" t="s">
        <v>2775</v>
      </c>
      <c r="C2385" t="s">
        <v>82</v>
      </c>
      <c r="D2385" t="s">
        <v>323</v>
      </c>
      <c r="E2385" s="3" t="str">
        <f>HYPERLINK("http://www.otzar.org/book.asp?616912","תבנית העולמות")</f>
        <v>תבנית העולמות</v>
      </c>
    </row>
    <row r="2386" spans="1:5" x14ac:dyDescent="0.2">
      <c r="A2386" t="s">
        <v>3701</v>
      </c>
      <c r="B2386" t="s">
        <v>1178</v>
      </c>
      <c r="C2386" t="s">
        <v>76</v>
      </c>
      <c r="D2386" t="s">
        <v>19</v>
      </c>
      <c r="E2386" s="3" t="str">
        <f>HYPERLINK("http://www.otzar.org/book.asp?174539","תגלנה עצמות דיכית")</f>
        <v>תגלנה עצמות דיכית</v>
      </c>
    </row>
    <row r="2387" spans="1:5" x14ac:dyDescent="0.2">
      <c r="A2387" t="s">
        <v>3702</v>
      </c>
      <c r="B2387" t="s">
        <v>3703</v>
      </c>
      <c r="C2387" t="s">
        <v>67</v>
      </c>
      <c r="D2387" t="s">
        <v>408</v>
      </c>
      <c r="E2387" s="3" t="str">
        <f>HYPERLINK("http://www.otzar.org/book.asp?27563","תדפיס מספר תולדות בערל בוימגארטען")</f>
        <v>תדפיס מספר תולדות בערל בוימגארטען</v>
      </c>
    </row>
    <row r="2388" spans="1:5" x14ac:dyDescent="0.2">
      <c r="A2388" t="s">
        <v>3704</v>
      </c>
      <c r="B2388" t="s">
        <v>545</v>
      </c>
      <c r="C2388" t="s">
        <v>771</v>
      </c>
      <c r="D2388" t="s">
        <v>3705</v>
      </c>
      <c r="E2388" s="3" t="str">
        <f>HYPERLINK("http://www.otzar.org/book.asp?16616","תהלות שבת")</f>
        <v>תהלות שבת</v>
      </c>
    </row>
    <row r="2389" spans="1:5" x14ac:dyDescent="0.2">
      <c r="A2389" t="s">
        <v>3706</v>
      </c>
      <c r="B2389" t="s">
        <v>30</v>
      </c>
      <c r="C2389" t="s">
        <v>148</v>
      </c>
      <c r="D2389" t="s">
        <v>8</v>
      </c>
      <c r="E2389" s="3" t="str">
        <f>HYPERLINK("http://www.otzar.org/book.asp?142185","תהלים אהל יוסף יצחק ע""פ תהלות מנחם - 5 כר'")</f>
        <v>תהלים אהל יוסף יצחק ע"פ תהלות מנחם - 5 כר'</v>
      </c>
    </row>
    <row r="2390" spans="1:5" x14ac:dyDescent="0.2">
      <c r="A2390" t="s">
        <v>3707</v>
      </c>
      <c r="B2390" t="s">
        <v>62</v>
      </c>
      <c r="C2390" t="s">
        <v>25</v>
      </c>
      <c r="D2390" t="s">
        <v>3708</v>
      </c>
      <c r="E2390" s="3" t="str">
        <f>HYPERLINK("http://www.otzar.org/book.asp?102516","תהלים עם פירוש יהל אור")</f>
        <v>תהלים עם פירוש יהל אור</v>
      </c>
    </row>
    <row r="2391" spans="1:5" x14ac:dyDescent="0.2">
      <c r="A2391" t="s">
        <v>3709</v>
      </c>
      <c r="B2391" t="s">
        <v>30</v>
      </c>
      <c r="C2391" t="s">
        <v>148</v>
      </c>
      <c r="D2391" t="s">
        <v>8</v>
      </c>
      <c r="E2391" s="3" t="str">
        <f>HYPERLINK("http://www.otzar.org/book.asp?150685","תהלים עם פירוש תהלות מנחם - 2 כר'")</f>
        <v>תהלים עם פירוש תהלות מנחם - 2 כר'</v>
      </c>
    </row>
    <row r="2392" spans="1:5" x14ac:dyDescent="0.2">
      <c r="A2392" t="s">
        <v>3710</v>
      </c>
      <c r="B2392" t="s">
        <v>3711</v>
      </c>
      <c r="C2392" t="s">
        <v>34</v>
      </c>
      <c r="D2392" t="s">
        <v>272</v>
      </c>
      <c r="E2392" s="3" t="str">
        <f>HYPERLINK("http://www.otzar.org/book.asp?167730","תהלים עם תרגום ספרדית")</f>
        <v>תהלים עם תרגום ספרדית</v>
      </c>
    </row>
    <row r="2393" spans="1:5" x14ac:dyDescent="0.2">
      <c r="A2393" t="s">
        <v>3712</v>
      </c>
      <c r="B2393" t="s">
        <v>2629</v>
      </c>
      <c r="C2393" t="s">
        <v>34</v>
      </c>
      <c r="D2393" t="s">
        <v>12</v>
      </c>
      <c r="E2393" s="3" t="str">
        <f>HYPERLINK("http://www.otzar.org/book.asp?162745","תהלים עם תרגום רוסית")</f>
        <v>תהלים עם תרגום רוסית</v>
      </c>
    </row>
    <row r="2394" spans="1:5" x14ac:dyDescent="0.2">
      <c r="A2394" t="s">
        <v>3713</v>
      </c>
      <c r="B2394" t="s">
        <v>105</v>
      </c>
      <c r="C2394" t="s">
        <v>76</v>
      </c>
      <c r="D2394" t="s">
        <v>19</v>
      </c>
      <c r="E2394" s="3" t="str">
        <f>HYPERLINK("http://www.otzar.org/book.asp?145957","תהלים פ""ט עם ילקוט פירושים")</f>
        <v>תהלים פ"ט עם ילקוט פירושים</v>
      </c>
    </row>
    <row r="2395" spans="1:5" x14ac:dyDescent="0.2">
      <c r="A2395" t="s">
        <v>3714</v>
      </c>
      <c r="B2395" t="s">
        <v>918</v>
      </c>
      <c r="C2395" t="s">
        <v>11</v>
      </c>
      <c r="D2395" t="s">
        <v>12</v>
      </c>
      <c r="E2395" s="3" t="str">
        <f>HYPERLINK("http://www.otzar.org/book.asp?173570","תהלת רבותינו - ברכות השחר, הודו")</f>
        <v>תהלת רבותינו - ברכות השחר, הודו</v>
      </c>
    </row>
    <row r="2396" spans="1:5" x14ac:dyDescent="0.2">
      <c r="A2396" t="s">
        <v>3715</v>
      </c>
      <c r="B2396" t="s">
        <v>108</v>
      </c>
      <c r="C2396" t="s">
        <v>54</v>
      </c>
      <c r="D2396" t="s">
        <v>12</v>
      </c>
      <c r="E2396" s="3" t="str">
        <f>HYPERLINK("http://www.otzar.org/book.asp?167753","תהלתו עומדת לעד")</f>
        <v>תהלתו עומדת לעד</v>
      </c>
    </row>
    <row r="2397" spans="1:5" x14ac:dyDescent="0.2">
      <c r="A2397" t="s">
        <v>3716</v>
      </c>
      <c r="B2397" t="s">
        <v>3717</v>
      </c>
      <c r="C2397" t="s">
        <v>73</v>
      </c>
      <c r="D2397" t="s">
        <v>12</v>
      </c>
      <c r="E2397" s="3" t="str">
        <f>HYPERLINK("http://www.otzar.org/book.asp?181122","תוכן הענינים על לקוטי שיחות ספר בראשית חודש ניסן")</f>
        <v>תוכן הענינים על לקוטי שיחות ספר בראשית חודש ניסן</v>
      </c>
    </row>
    <row r="2398" spans="1:5" x14ac:dyDescent="0.2">
      <c r="A2398" t="s">
        <v>3718</v>
      </c>
      <c r="B2398" t="s">
        <v>3718</v>
      </c>
      <c r="C2398" t="s">
        <v>18</v>
      </c>
      <c r="D2398" t="s">
        <v>1228</v>
      </c>
      <c r="E2398" s="3" t="str">
        <f>HYPERLINK("http://www.otzar.org/book.asp?146537","תוכן השיחות היומיות")</f>
        <v>תוכן השיחות היומיות</v>
      </c>
    </row>
    <row r="2399" spans="1:5" x14ac:dyDescent="0.2">
      <c r="A2399" t="s">
        <v>3719</v>
      </c>
      <c r="B2399" t="s">
        <v>30</v>
      </c>
      <c r="C2399" t="s">
        <v>88</v>
      </c>
      <c r="D2399" t="s">
        <v>382</v>
      </c>
      <c r="E2399" s="3" t="str">
        <f>HYPERLINK("http://www.otzar.org/book.asp?146170","תוכן התועדות - 3 כר'")</f>
        <v>תוכן התועדות - 3 כר'</v>
      </c>
    </row>
    <row r="2400" spans="1:5" x14ac:dyDescent="0.2">
      <c r="A2400" t="s">
        <v>3720</v>
      </c>
      <c r="B2400" t="s">
        <v>17</v>
      </c>
      <c r="C2400" t="s">
        <v>39</v>
      </c>
      <c r="D2400" t="s">
        <v>40</v>
      </c>
      <c r="E2400" s="3" t="str">
        <f>HYPERLINK("http://www.otzar.org/book.asp?141716","תולדות אברהם חיים &lt;טקסט&gt;")</f>
        <v>תולדות אברהם חיים &lt;טקסט&gt;</v>
      </c>
    </row>
    <row r="2401" spans="1:5" x14ac:dyDescent="0.2">
      <c r="A2401" t="s">
        <v>3721</v>
      </c>
      <c r="B2401" t="s">
        <v>17</v>
      </c>
      <c r="C2401" t="s">
        <v>111</v>
      </c>
      <c r="D2401" t="s">
        <v>8</v>
      </c>
      <c r="E2401" s="3" t="str">
        <f>HYPERLINK("http://www.otzar.org/book.asp?27078","תולדות אברהם חיים")</f>
        <v>תולדות אברהם חיים</v>
      </c>
    </row>
    <row r="2402" spans="1:5" x14ac:dyDescent="0.2">
      <c r="A2402" t="s">
        <v>3722</v>
      </c>
      <c r="B2402" t="s">
        <v>566</v>
      </c>
      <c r="C2402" t="s">
        <v>86</v>
      </c>
      <c r="D2402" t="s">
        <v>12</v>
      </c>
      <c r="E2402" s="3" t="str">
        <f>HYPERLINK("http://www.otzar.org/book.asp?143252","תולדות ברוך מרדכי")</f>
        <v>תולדות ברוך מרדכי</v>
      </c>
    </row>
    <row r="2403" spans="1:5" x14ac:dyDescent="0.2">
      <c r="A2403" t="s">
        <v>3723</v>
      </c>
      <c r="B2403" t="s">
        <v>17</v>
      </c>
      <c r="C2403" t="s">
        <v>39</v>
      </c>
      <c r="D2403" t="s">
        <v>40</v>
      </c>
      <c r="E2403" s="3" t="str">
        <f>HYPERLINK("http://www.otzar.org/book.asp?141717","תולדות חב""ד בארץ הקודש &lt;טקסט&gt;")</f>
        <v>תולדות חב"ד בארץ הקודש &lt;טקסט&gt;</v>
      </c>
    </row>
    <row r="2404" spans="1:5" x14ac:dyDescent="0.2">
      <c r="A2404" t="s">
        <v>3724</v>
      </c>
      <c r="B2404" t="s">
        <v>17</v>
      </c>
      <c r="C2404" t="s">
        <v>155</v>
      </c>
      <c r="D2404" t="s">
        <v>8</v>
      </c>
      <c r="E2404" s="3" t="str">
        <f>HYPERLINK("http://www.otzar.org/book.asp?28753","תולדות חב""ד בארץ הקודש")</f>
        <v>תולדות חב"ד בארץ הקודש</v>
      </c>
    </row>
    <row r="2405" spans="1:5" x14ac:dyDescent="0.2">
      <c r="A2405" t="s">
        <v>3725</v>
      </c>
      <c r="B2405" t="s">
        <v>17</v>
      </c>
      <c r="C2405" t="s">
        <v>155</v>
      </c>
      <c r="D2405" t="s">
        <v>8</v>
      </c>
      <c r="E2405" s="3" t="str">
        <f>HYPERLINK("http://www.otzar.org/book.asp?28751","תולדות חב""ד בארצות הברית")</f>
        <v>תולדות חב"ד בארצות הברית</v>
      </c>
    </row>
    <row r="2406" spans="1:5" x14ac:dyDescent="0.2">
      <c r="A2406" t="s">
        <v>3726</v>
      </c>
      <c r="B2406" t="s">
        <v>17</v>
      </c>
      <c r="C2406" t="s">
        <v>11</v>
      </c>
      <c r="D2406" t="s">
        <v>8</v>
      </c>
      <c r="E2406" s="3" t="str">
        <f>HYPERLINK("http://www.otzar.org/book.asp?167725","תולדות חב""ד בפולין, ליטא ולטביא")</f>
        <v>תולדות חב"ד בפולין, ליטא ולטביא</v>
      </c>
    </row>
    <row r="2407" spans="1:5" x14ac:dyDescent="0.2">
      <c r="A2407" t="s">
        <v>3727</v>
      </c>
      <c r="B2407" t="s">
        <v>348</v>
      </c>
      <c r="C2407" t="s">
        <v>11</v>
      </c>
      <c r="D2407" t="s">
        <v>12</v>
      </c>
      <c r="E2407" s="3" t="str">
        <f>HYPERLINK("http://www.otzar.org/book.asp?162899","תולדות חב""ד בפטרבורג")</f>
        <v>תולדות חב"ד בפטרבורג</v>
      </c>
    </row>
    <row r="2408" spans="1:5" x14ac:dyDescent="0.2">
      <c r="A2408" t="s">
        <v>3728</v>
      </c>
      <c r="B2408" t="s">
        <v>17</v>
      </c>
      <c r="C2408" t="s">
        <v>155</v>
      </c>
      <c r="D2408" t="s">
        <v>8</v>
      </c>
      <c r="E2408" s="3" t="str">
        <f>HYPERLINK("http://www.otzar.org/book.asp?28757","תולדות חב""ד ברוסיא הסובייטית")</f>
        <v>תולדות חב"ד ברוסיא הסובייטית</v>
      </c>
    </row>
    <row r="2409" spans="1:5" x14ac:dyDescent="0.2">
      <c r="A2409" t="s">
        <v>3729</v>
      </c>
      <c r="B2409" t="s">
        <v>17</v>
      </c>
      <c r="C2409" t="s">
        <v>34</v>
      </c>
      <c r="D2409" t="s">
        <v>8</v>
      </c>
      <c r="E2409" s="3" t="str">
        <f>HYPERLINK("http://www.otzar.org/book.asp?171724","תולדות חב""ד ברוסיא הצארית")</f>
        <v>תולדות חב"ד ברוסיא הצארית</v>
      </c>
    </row>
    <row r="2410" spans="1:5" x14ac:dyDescent="0.2">
      <c r="A2410" t="s">
        <v>3730</v>
      </c>
      <c r="B2410" t="s">
        <v>566</v>
      </c>
      <c r="C2410" t="s">
        <v>47</v>
      </c>
      <c r="D2410" t="s">
        <v>12</v>
      </c>
      <c r="E2410" s="3" t="str">
        <f>HYPERLINK("http://www.otzar.org/book.asp?27106","תולדות יצחק אייזיק")</f>
        <v>תולדות יצחק אייזיק</v>
      </c>
    </row>
    <row r="2411" spans="1:5" x14ac:dyDescent="0.2">
      <c r="A2411" t="s">
        <v>3731</v>
      </c>
      <c r="B2411" t="s">
        <v>1382</v>
      </c>
      <c r="C2411" t="s">
        <v>142</v>
      </c>
      <c r="D2411" t="s">
        <v>12</v>
      </c>
      <c r="E2411" s="3" t="str">
        <f>HYPERLINK("http://www.otzar.org/book.asp?621032","תולדות לוי יצחק - 3 כר'")</f>
        <v>תולדות לוי יצחק - 3 כר'</v>
      </c>
    </row>
    <row r="2412" spans="1:5" x14ac:dyDescent="0.2">
      <c r="A2412" t="s">
        <v>3732</v>
      </c>
      <c r="B2412" t="s">
        <v>3733</v>
      </c>
      <c r="C2412" t="s">
        <v>91</v>
      </c>
      <c r="D2412" t="s">
        <v>98</v>
      </c>
      <c r="E2412" s="3" t="str">
        <f>HYPERLINK("http://www.otzar.org/book.asp?20406","תולדות משפחת הרב מלאדי")</f>
        <v>תולדות משפחת הרב מלאדי</v>
      </c>
    </row>
    <row r="2413" spans="1:5" x14ac:dyDescent="0.2">
      <c r="A2413" t="s">
        <v>3734</v>
      </c>
      <c r="B2413" t="s">
        <v>517</v>
      </c>
      <c r="D2413" t="s">
        <v>8</v>
      </c>
      <c r="E2413" s="3" t="str">
        <f>HYPERLINK("http://www.otzar.org/book.asp?621051","תולדות ספר התניא")</f>
        <v>תולדות ספר התניא</v>
      </c>
    </row>
    <row r="2414" spans="1:5" x14ac:dyDescent="0.2">
      <c r="A2414" t="s">
        <v>3735</v>
      </c>
      <c r="B2414" t="s">
        <v>566</v>
      </c>
      <c r="C2414" t="s">
        <v>39</v>
      </c>
      <c r="D2414" t="s">
        <v>579</v>
      </c>
      <c r="E2414" s="3" t="str">
        <f>HYPERLINK("http://www.otzar.org/book.asp?141497","תולדות צאצאי רבי יהונתן")</f>
        <v>תולדות צאצאי רבי יהונתן</v>
      </c>
    </row>
    <row r="2415" spans="1:5" x14ac:dyDescent="0.2">
      <c r="A2415" t="s">
        <v>3736</v>
      </c>
      <c r="B2415" t="s">
        <v>3737</v>
      </c>
      <c r="C2415" t="s">
        <v>161</v>
      </c>
      <c r="D2415" t="s">
        <v>8</v>
      </c>
      <c r="E2415" s="3" t="str">
        <f>HYPERLINK("http://www.otzar.org/book.asp?164374","תולדות ר' אברהם אבא זעליגזאן")</f>
        <v>תולדות ר' אברהם אבא זעליגזאן</v>
      </c>
    </row>
    <row r="2416" spans="1:5" x14ac:dyDescent="0.2">
      <c r="A2416" t="s">
        <v>3738</v>
      </c>
      <c r="B2416" t="s">
        <v>1941</v>
      </c>
      <c r="C2416" t="s">
        <v>86</v>
      </c>
      <c r="D2416" t="s">
        <v>19</v>
      </c>
      <c r="E2416" s="3" t="str">
        <f>HYPERLINK("http://www.otzar.org/book.asp?162038","תולדות ר' מנחם מענדל")</f>
        <v>תולדות ר' מנחם מענדל</v>
      </c>
    </row>
    <row r="2417" spans="1:5" x14ac:dyDescent="0.2">
      <c r="A2417" t="s">
        <v>3739</v>
      </c>
      <c r="B2417" t="s">
        <v>3740</v>
      </c>
      <c r="C2417" t="s">
        <v>86</v>
      </c>
      <c r="E2417" s="3" t="str">
        <f>HYPERLINK("http://www.otzar.org/book.asp?610253","תולדות ר' סעדיה")</f>
        <v>תולדות ר' סעדיה</v>
      </c>
    </row>
    <row r="2418" spans="1:5" x14ac:dyDescent="0.2">
      <c r="A2418" t="s">
        <v>3741</v>
      </c>
      <c r="B2418" t="s">
        <v>3742</v>
      </c>
      <c r="C2418" t="s">
        <v>73</v>
      </c>
      <c r="D2418" t="s">
        <v>12</v>
      </c>
      <c r="E2418" s="3" t="str">
        <f>HYPERLINK("http://www.otzar.org/book.asp?181519","תולדות רבותינו נשיאינו")</f>
        <v>תולדות רבותינו נשיאינו</v>
      </c>
    </row>
    <row r="2419" spans="1:5" x14ac:dyDescent="0.2">
      <c r="A2419" t="s">
        <v>3743</v>
      </c>
      <c r="B2419" t="s">
        <v>3252</v>
      </c>
      <c r="C2419" t="s">
        <v>82</v>
      </c>
      <c r="D2419" t="s">
        <v>8</v>
      </c>
      <c r="E2419" s="3" t="str">
        <f>HYPERLINK("http://www.otzar.org/book.asp?199645","תולדות רבי משה")</f>
        <v>תולדות רבי משה</v>
      </c>
    </row>
    <row r="2420" spans="1:5" x14ac:dyDescent="0.2">
      <c r="A2420" t="s">
        <v>3744</v>
      </c>
      <c r="B2420" t="s">
        <v>3745</v>
      </c>
      <c r="C2420" t="s">
        <v>11</v>
      </c>
      <c r="D2420" t="s">
        <v>12</v>
      </c>
      <c r="E2420" s="3" t="str">
        <f>HYPERLINK("http://www.otzar.org/book.asp?164330","תולדות שמואל מונקעס, החתונה הגדולה בז'לאבין")</f>
        <v>תולדות שמואל מונקעס, החתונה הגדולה בז'לאבין</v>
      </c>
    </row>
    <row r="2421" spans="1:5" x14ac:dyDescent="0.2">
      <c r="A2421" t="s">
        <v>3746</v>
      </c>
      <c r="B2421" t="s">
        <v>151</v>
      </c>
      <c r="C2421" t="s">
        <v>1671</v>
      </c>
      <c r="D2421" t="s">
        <v>8</v>
      </c>
      <c r="E2421" s="3" t="str">
        <f>HYPERLINK("http://www.otzar.org/book.asp?85289","תומכי תמימים")</f>
        <v>תומכי תמימים</v>
      </c>
    </row>
    <row r="2422" spans="1:5" x14ac:dyDescent="0.2">
      <c r="A2422" t="s">
        <v>3746</v>
      </c>
      <c r="B2422" t="s">
        <v>926</v>
      </c>
      <c r="C2422" t="s">
        <v>404</v>
      </c>
      <c r="D2422" t="s">
        <v>12</v>
      </c>
      <c r="E2422" s="3" t="str">
        <f>HYPERLINK("http://www.otzar.org/book.asp?142648","תומכי תמימים")</f>
        <v>תומכי תמימים</v>
      </c>
    </row>
    <row r="2423" spans="1:5" x14ac:dyDescent="0.2">
      <c r="A2423" t="s">
        <v>3746</v>
      </c>
      <c r="B2423" t="s">
        <v>3747</v>
      </c>
      <c r="C2423" t="s">
        <v>54</v>
      </c>
      <c r="D2423" t="s">
        <v>12</v>
      </c>
      <c r="E2423" s="3" t="str">
        <f>HYPERLINK("http://www.otzar.org/book.asp?169907","תומכי תמימים")</f>
        <v>תומכי תמימים</v>
      </c>
    </row>
    <row r="2424" spans="1:5" x14ac:dyDescent="0.2">
      <c r="A2424" t="s">
        <v>3746</v>
      </c>
      <c r="B2424" t="s">
        <v>3746</v>
      </c>
      <c r="C2424" t="s">
        <v>39</v>
      </c>
      <c r="D2424" t="s">
        <v>8</v>
      </c>
      <c r="E2424" s="3" t="str">
        <f>HYPERLINK("http://www.otzar.org/book.asp?162736","תומכי תמימים")</f>
        <v>תומכי תמימים</v>
      </c>
    </row>
    <row r="2425" spans="1:5" x14ac:dyDescent="0.2">
      <c r="A2425" t="s">
        <v>3748</v>
      </c>
      <c r="B2425" t="s">
        <v>24</v>
      </c>
      <c r="C2425" t="s">
        <v>39</v>
      </c>
      <c r="D2425" t="s">
        <v>40</v>
      </c>
      <c r="E2425" s="3" t="str">
        <f>HYPERLINK("http://www.otzar.org/book.asp?141718","תורה אור &lt;טקסט&gt;")</f>
        <v>תורה אור &lt;טקסט&gt;</v>
      </c>
    </row>
    <row r="2426" spans="1:5" x14ac:dyDescent="0.2">
      <c r="A2426" t="s">
        <v>3749</v>
      </c>
      <c r="B2426" t="s">
        <v>24</v>
      </c>
      <c r="C2426" t="s">
        <v>191</v>
      </c>
      <c r="D2426" t="s">
        <v>8</v>
      </c>
      <c r="E2426" s="3" t="str">
        <f>HYPERLINK("http://www.otzar.org/book.asp?153365","תורה אור (באנגלית) - א")</f>
        <v>תורה אור (באנגלית) - א</v>
      </c>
    </row>
    <row r="2427" spans="1:5" x14ac:dyDescent="0.2">
      <c r="A2427" t="s">
        <v>3750</v>
      </c>
      <c r="B2427" t="s">
        <v>1806</v>
      </c>
      <c r="C2427" t="s">
        <v>142</v>
      </c>
      <c r="D2427" t="s">
        <v>208</v>
      </c>
      <c r="E2427" s="3" t="str">
        <f>HYPERLINK("http://www.otzar.org/book.asp?611255","תורה אור המבואר - 6 כר'")</f>
        <v>תורה אור המבואר - 6 כר'</v>
      </c>
    </row>
    <row r="2428" spans="1:5" x14ac:dyDescent="0.2">
      <c r="A2428" t="s">
        <v>3751</v>
      </c>
      <c r="B2428" t="s">
        <v>24</v>
      </c>
      <c r="C2428" t="s">
        <v>11</v>
      </c>
      <c r="D2428" t="s">
        <v>8</v>
      </c>
      <c r="E2428" s="3" t="str">
        <f>HYPERLINK("http://www.otzar.org/book.asp?167690","תורה אור ולקוטי תורה ע""פ חסידות מבוארת - 2 כר'")</f>
        <v>תורה אור ולקוטי תורה ע"פ חסידות מבוארת - 2 כר'</v>
      </c>
    </row>
    <row r="2429" spans="1:5" x14ac:dyDescent="0.2">
      <c r="A2429" t="s">
        <v>3752</v>
      </c>
      <c r="B2429" t="s">
        <v>24</v>
      </c>
      <c r="C2429" t="s">
        <v>712</v>
      </c>
      <c r="D2429" t="s">
        <v>92</v>
      </c>
      <c r="E2429" s="3" t="str">
        <f>HYPERLINK("http://www.otzar.org/book.asp?9900","תורה אור - 4 כר'")</f>
        <v>תורה אור - 4 כר'</v>
      </c>
    </row>
    <row r="2430" spans="1:5" x14ac:dyDescent="0.2">
      <c r="A2430" t="s">
        <v>3753</v>
      </c>
      <c r="B2430" t="s">
        <v>3754</v>
      </c>
      <c r="C2430" t="s">
        <v>76</v>
      </c>
      <c r="D2430" t="s">
        <v>19</v>
      </c>
      <c r="E2430" s="3" t="str">
        <f>HYPERLINK("http://www.otzar.org/book.asp?142730","תורה געדאנקען")</f>
        <v>תורה געדאנקען</v>
      </c>
    </row>
    <row r="2431" spans="1:5" x14ac:dyDescent="0.2">
      <c r="A2431" t="s">
        <v>3755</v>
      </c>
      <c r="B2431" t="s">
        <v>3756</v>
      </c>
      <c r="C2431" t="s">
        <v>44</v>
      </c>
      <c r="D2431" t="s">
        <v>12</v>
      </c>
      <c r="E2431" s="3" t="str">
        <f>HYPERLINK("http://www.otzar.org/book.asp?181631","תורה ופירושה - 6 כר'")</f>
        <v>תורה ופירושה - 6 כר'</v>
      </c>
    </row>
    <row r="2432" spans="1:5" x14ac:dyDescent="0.2">
      <c r="A2432" t="s">
        <v>3757</v>
      </c>
      <c r="B2432" t="s">
        <v>108</v>
      </c>
      <c r="C2432" t="s">
        <v>148</v>
      </c>
      <c r="D2432" t="s">
        <v>654</v>
      </c>
      <c r="E2432" s="3" t="str">
        <f>HYPERLINK("http://www.otzar.org/book.asp?142712","תורותיו ינצורו")</f>
        <v>תורותיו ינצורו</v>
      </c>
    </row>
    <row r="2433" spans="1:5" x14ac:dyDescent="0.2">
      <c r="A2433" t="s">
        <v>3758</v>
      </c>
      <c r="B2433" t="s">
        <v>108</v>
      </c>
      <c r="C2433" t="s">
        <v>52</v>
      </c>
      <c r="D2433" t="s">
        <v>8</v>
      </c>
      <c r="E2433" s="3" t="str">
        <f>HYPERLINK("http://www.otzar.org/book.asp?26479","תורת אמת - ב")</f>
        <v>תורת אמת - ב</v>
      </c>
    </row>
    <row r="2434" spans="1:5" x14ac:dyDescent="0.2">
      <c r="A2434" t="s">
        <v>3759</v>
      </c>
      <c r="B2434" t="s">
        <v>1049</v>
      </c>
      <c r="C2434" t="s">
        <v>11</v>
      </c>
      <c r="D2434" t="s">
        <v>3760</v>
      </c>
      <c r="E2434" s="3" t="str">
        <f>HYPERLINK("http://www.otzar.org/book.asp?164308","תורת ברלין")</f>
        <v>תורת ברלין</v>
      </c>
    </row>
    <row r="2435" spans="1:5" x14ac:dyDescent="0.2">
      <c r="A2435" t="s">
        <v>3761</v>
      </c>
      <c r="B2435" t="s">
        <v>38</v>
      </c>
      <c r="C2435" t="s">
        <v>22</v>
      </c>
      <c r="D2435" t="s">
        <v>92</v>
      </c>
      <c r="E2435" s="3" t="str">
        <f>HYPERLINK("http://www.otzar.org/book.asp?26459","תורת החסידות")</f>
        <v>תורת החסידות</v>
      </c>
    </row>
    <row r="2436" spans="1:5" x14ac:dyDescent="0.2">
      <c r="A2436" t="s">
        <v>3762</v>
      </c>
      <c r="B2436" t="s">
        <v>108</v>
      </c>
      <c r="C2436" t="s">
        <v>22</v>
      </c>
      <c r="D2436" t="s">
        <v>3763</v>
      </c>
      <c r="E2436" s="3" t="str">
        <f>HYPERLINK("http://www.otzar.org/book.asp?27292","תורת המערב")</f>
        <v>תורת המערב</v>
      </c>
    </row>
    <row r="2437" spans="1:5" x14ac:dyDescent="0.2">
      <c r="A2437" t="s">
        <v>3764</v>
      </c>
      <c r="B2437" t="s">
        <v>108</v>
      </c>
      <c r="C2437" t="s">
        <v>18</v>
      </c>
      <c r="D2437" t="s">
        <v>12</v>
      </c>
      <c r="E2437" s="3" t="str">
        <f>HYPERLINK("http://www.otzar.org/book.asp?146202","תורת הסוגיות")</f>
        <v>תורת הסוגיות</v>
      </c>
    </row>
    <row r="2438" spans="1:5" x14ac:dyDescent="0.2">
      <c r="A2438" t="s">
        <v>3765</v>
      </c>
      <c r="B2438" t="s">
        <v>3766</v>
      </c>
      <c r="C2438" t="s">
        <v>22</v>
      </c>
      <c r="D2438" t="s">
        <v>40</v>
      </c>
      <c r="E2438" s="3" t="str">
        <f>HYPERLINK("http://www.otzar.org/book.asp?624471","תורת השליחות")</f>
        <v>תורת השליחות</v>
      </c>
    </row>
    <row r="2439" spans="1:5" x14ac:dyDescent="0.2">
      <c r="A2439" t="s">
        <v>3765</v>
      </c>
      <c r="B2439" t="s">
        <v>677</v>
      </c>
      <c r="C2439" t="s">
        <v>327</v>
      </c>
      <c r="D2439" t="s">
        <v>12</v>
      </c>
      <c r="E2439" s="3" t="str">
        <f>HYPERLINK("http://www.otzar.org/book.asp?27302","תורת השליחות")</f>
        <v>תורת השליחות</v>
      </c>
    </row>
    <row r="2440" spans="1:5" x14ac:dyDescent="0.2">
      <c r="A2440" t="s">
        <v>3767</v>
      </c>
      <c r="B2440" t="s">
        <v>145</v>
      </c>
      <c r="C2440" t="s">
        <v>60</v>
      </c>
      <c r="D2440" t="s">
        <v>8</v>
      </c>
      <c r="E2440" s="3" t="str">
        <f>HYPERLINK("http://www.otzar.org/book.asp?147686","תורת חב""ד - 2 כר'")</f>
        <v>תורת חב"ד - 2 כר'</v>
      </c>
    </row>
    <row r="2441" spans="1:5" x14ac:dyDescent="0.2">
      <c r="A2441" t="s">
        <v>3768</v>
      </c>
      <c r="B2441" t="s">
        <v>43</v>
      </c>
      <c r="C2441" t="s">
        <v>39</v>
      </c>
      <c r="D2441" t="s">
        <v>40</v>
      </c>
      <c r="E2441" s="3" t="str">
        <f>HYPERLINK("http://www.otzar.org/book.asp?141719","תורת חיים &lt;טקסט&gt;")</f>
        <v>תורת חיים &lt;טקסט&gt;</v>
      </c>
    </row>
    <row r="2442" spans="1:5" x14ac:dyDescent="0.2">
      <c r="A2442" t="s">
        <v>3769</v>
      </c>
      <c r="B2442" t="s">
        <v>43</v>
      </c>
      <c r="C2442" t="s">
        <v>52</v>
      </c>
      <c r="D2442" t="s">
        <v>8</v>
      </c>
      <c r="E2442" s="3" t="str">
        <f>HYPERLINK("http://www.otzar.org/book.asp?26652","תורת חיים - 4 כר'")</f>
        <v>תורת חיים - 4 כר'</v>
      </c>
    </row>
    <row r="2443" spans="1:5" x14ac:dyDescent="0.2">
      <c r="A2443" t="s">
        <v>3770</v>
      </c>
      <c r="B2443" t="s">
        <v>180</v>
      </c>
      <c r="C2443" t="s">
        <v>115</v>
      </c>
      <c r="D2443" t="s">
        <v>8</v>
      </c>
      <c r="E2443" s="3" t="str">
        <f>HYPERLINK("http://www.otzar.org/book.asp?173388","תורת חסד")</f>
        <v>תורת חסד</v>
      </c>
    </row>
    <row r="2444" spans="1:5" x14ac:dyDescent="0.2">
      <c r="A2444" t="s">
        <v>3771</v>
      </c>
      <c r="B2444" t="s">
        <v>403</v>
      </c>
      <c r="C2444" t="s">
        <v>119</v>
      </c>
      <c r="D2444" t="s">
        <v>8</v>
      </c>
      <c r="E2444" s="3" t="str">
        <f>HYPERLINK("http://www.otzar.org/book.asp?141341","תורת יצחק - 2 כר'")</f>
        <v>תורת יצחק - 2 כר'</v>
      </c>
    </row>
    <row r="2445" spans="1:5" x14ac:dyDescent="0.2">
      <c r="A2445" t="s">
        <v>3772</v>
      </c>
      <c r="B2445" t="s">
        <v>1442</v>
      </c>
      <c r="C2445" t="s">
        <v>327</v>
      </c>
      <c r="D2445" t="s">
        <v>8</v>
      </c>
      <c r="E2445" s="3" t="str">
        <f>HYPERLINK("http://www.otzar.org/book.asp?26686","תורת לוי יצחק - ש""ס משנה וגמרא")</f>
        <v>תורת לוי יצחק - ש"ס משנה וגמרא</v>
      </c>
    </row>
    <row r="2446" spans="1:5" x14ac:dyDescent="0.2">
      <c r="A2446" t="s">
        <v>3773</v>
      </c>
      <c r="B2446" t="s">
        <v>30</v>
      </c>
      <c r="C2446" t="s">
        <v>39</v>
      </c>
      <c r="D2446" t="s">
        <v>40</v>
      </c>
      <c r="E2446" s="3" t="str">
        <f>HYPERLINK("http://www.otzar.org/book.asp?141720","תורת מנחם &lt;טקסט&gt;")</f>
        <v>תורת מנחם &lt;טקסט&gt;</v>
      </c>
    </row>
    <row r="2447" spans="1:5" x14ac:dyDescent="0.2">
      <c r="A2447" t="s">
        <v>3774</v>
      </c>
      <c r="B2447" t="s">
        <v>30</v>
      </c>
      <c r="C2447" t="s">
        <v>82</v>
      </c>
      <c r="D2447" t="s">
        <v>8</v>
      </c>
      <c r="E2447" s="3" t="str">
        <f>HYPERLINK("http://www.otzar.org/book.asp?603103","תורת מנחם &lt;יין מלכות&gt; - 3 כר'")</f>
        <v>תורת מנחם &lt;יין מלכות&gt; - 3 כר'</v>
      </c>
    </row>
    <row r="2448" spans="1:5" x14ac:dyDescent="0.2">
      <c r="A2448" t="s">
        <v>3775</v>
      </c>
      <c r="B2448" t="s">
        <v>30</v>
      </c>
      <c r="C2448" t="s">
        <v>44</v>
      </c>
      <c r="D2448" t="s">
        <v>2462</v>
      </c>
      <c r="E2448" s="3" t="str">
        <f>HYPERLINK("http://www.otzar.org/book.asp?181106","תורת מנחם (בצרפתית) - ספר המאמרים מלוקט חודש תמוז")</f>
        <v>תורת מנחם (בצרפתית) - ספר המאמרים מלוקט חודש תמוז</v>
      </c>
    </row>
    <row r="2449" spans="1:5" x14ac:dyDescent="0.2">
      <c r="A2449" t="s">
        <v>3776</v>
      </c>
      <c r="B2449" t="s">
        <v>30</v>
      </c>
      <c r="C2449" t="s">
        <v>152</v>
      </c>
      <c r="D2449" t="s">
        <v>8</v>
      </c>
      <c r="E2449" s="3" t="str">
        <f>HYPERLINK("http://www.otzar.org/book.asp?27257","תורת מנחם מנחם ציון - 2 כר'")</f>
        <v>תורת מנחם מנחם ציון - 2 כר'</v>
      </c>
    </row>
    <row r="2450" spans="1:5" x14ac:dyDescent="0.2">
      <c r="A2450" t="s">
        <v>3777</v>
      </c>
      <c r="B2450" t="s">
        <v>30</v>
      </c>
      <c r="C2450" t="s">
        <v>327</v>
      </c>
      <c r="D2450" t="s">
        <v>8</v>
      </c>
      <c r="E2450" s="3" t="str">
        <f>HYPERLINK("http://www.otzar.org/book.asp?26648","תורת מנחם ספר המאמרים מלוקט - 4 כר'")</f>
        <v>תורת מנחם ספר המאמרים מלוקט - 4 כר'</v>
      </c>
    </row>
    <row r="2451" spans="1:5" x14ac:dyDescent="0.2">
      <c r="A2451" t="s">
        <v>3778</v>
      </c>
      <c r="B2451" t="s">
        <v>30</v>
      </c>
      <c r="C2451" t="s">
        <v>52</v>
      </c>
      <c r="D2451" t="s">
        <v>8</v>
      </c>
      <c r="E2451" s="3" t="str">
        <f>HYPERLINK("http://www.otzar.org/book.asp?27253","תורת מנחם תפארת לוי יצחק - 3 כר'")</f>
        <v>תורת מנחם תפארת לוי יצחק - 3 כר'</v>
      </c>
    </row>
    <row r="2452" spans="1:5" x14ac:dyDescent="0.2">
      <c r="A2452" t="s">
        <v>3779</v>
      </c>
      <c r="B2452" t="s">
        <v>30</v>
      </c>
      <c r="C2452" t="s">
        <v>67</v>
      </c>
      <c r="D2452" t="s">
        <v>8</v>
      </c>
      <c r="E2452" s="3" t="str">
        <f>HYPERLINK("http://www.otzar.org/book.asp?26221","תורת מנחם - 137 כר'")</f>
        <v>תורת מנחם - 137 כר'</v>
      </c>
    </row>
    <row r="2453" spans="1:5" x14ac:dyDescent="0.2">
      <c r="A2453" t="s">
        <v>3780</v>
      </c>
      <c r="B2453" t="s">
        <v>108</v>
      </c>
      <c r="C2453" t="s">
        <v>18</v>
      </c>
      <c r="D2453" t="s">
        <v>166</v>
      </c>
      <c r="E2453" s="3" t="str">
        <f>HYPERLINK("http://www.otzar.org/book.asp?163641","תורת נחלת הר חב""ד - 130 כר'")</f>
        <v>תורת נחלת הר חב"ד - 130 כר'</v>
      </c>
    </row>
    <row r="2454" spans="1:5" x14ac:dyDescent="0.2">
      <c r="A2454" t="s">
        <v>3781</v>
      </c>
      <c r="B2454" t="s">
        <v>108</v>
      </c>
      <c r="C2454" t="s">
        <v>65</v>
      </c>
      <c r="D2454" t="s">
        <v>40</v>
      </c>
      <c r="E2454" s="3" t="str">
        <f>HYPERLINK("http://www.otzar.org/book.asp?141371","תורת צדק")</f>
        <v>תורת צדק</v>
      </c>
    </row>
    <row r="2455" spans="1:5" x14ac:dyDescent="0.2">
      <c r="A2455" t="s">
        <v>3782</v>
      </c>
      <c r="B2455" t="s">
        <v>64</v>
      </c>
      <c r="C2455" t="s">
        <v>52</v>
      </c>
      <c r="D2455" t="s">
        <v>8</v>
      </c>
      <c r="E2455" s="3" t="str">
        <f>HYPERLINK("http://www.otzar.org/book.asp?27006","תורת שלום - 4 כר'")</f>
        <v>תורת שלום - 4 כר'</v>
      </c>
    </row>
    <row r="2456" spans="1:5" x14ac:dyDescent="0.2">
      <c r="A2456" t="s">
        <v>3783</v>
      </c>
      <c r="B2456" t="s">
        <v>66</v>
      </c>
      <c r="C2456" t="s">
        <v>39</v>
      </c>
      <c r="D2456" t="s">
        <v>40</v>
      </c>
      <c r="E2456" s="3" t="str">
        <f>HYPERLINK("http://www.otzar.org/book.asp?141721","תורת שמואל &lt;טקסט&gt;")</f>
        <v>תורת שמואל &lt;טקסט&gt;</v>
      </c>
    </row>
    <row r="2457" spans="1:5" x14ac:dyDescent="0.2">
      <c r="A2457" t="s">
        <v>3784</v>
      </c>
      <c r="B2457" t="s">
        <v>66</v>
      </c>
      <c r="C2457" t="s">
        <v>477</v>
      </c>
      <c r="D2457" t="s">
        <v>12</v>
      </c>
      <c r="E2457" s="3" t="str">
        <f>HYPERLINK("http://www.otzar.org/book.asp?27148","תורת שמואל ספר השיחות")</f>
        <v>תורת שמואל ספר השיחות</v>
      </c>
    </row>
    <row r="2458" spans="1:5" x14ac:dyDescent="0.2">
      <c r="A2458" t="s">
        <v>3785</v>
      </c>
      <c r="B2458" t="s">
        <v>108</v>
      </c>
      <c r="C2458" t="s">
        <v>67</v>
      </c>
      <c r="D2458" t="s">
        <v>2103</v>
      </c>
      <c r="E2458" s="3" t="str">
        <f>HYPERLINK("http://www.otzar.org/book.asp?27478","תורת תלמיד ותיק")</f>
        <v>תורת תלמיד ותיק</v>
      </c>
    </row>
    <row r="2459" spans="1:5" x14ac:dyDescent="0.2">
      <c r="A2459" t="s">
        <v>3786</v>
      </c>
      <c r="B2459" t="s">
        <v>108</v>
      </c>
      <c r="C2459" t="s">
        <v>152</v>
      </c>
      <c r="D2459" t="s">
        <v>654</v>
      </c>
      <c r="E2459" s="3" t="str">
        <f>HYPERLINK("http://www.otzar.org/book.asp?141501","תורת תמימים - א")</f>
        <v>תורת תמימים - א</v>
      </c>
    </row>
    <row r="2460" spans="1:5" x14ac:dyDescent="0.2">
      <c r="A2460" t="s">
        <v>3787</v>
      </c>
      <c r="B2460" t="s">
        <v>422</v>
      </c>
      <c r="C2460" t="s">
        <v>82</v>
      </c>
      <c r="D2460" t="s">
        <v>98</v>
      </c>
      <c r="E2460" s="3" t="str">
        <f>HYPERLINK("http://www.otzar.org/book.asp?607921","תורתו אמת")</f>
        <v>תורתו אמת</v>
      </c>
    </row>
    <row r="2461" spans="1:5" x14ac:dyDescent="0.2">
      <c r="A2461" t="s">
        <v>3788</v>
      </c>
      <c r="B2461" t="s">
        <v>172</v>
      </c>
      <c r="C2461" t="s">
        <v>76</v>
      </c>
      <c r="D2461" t="s">
        <v>19</v>
      </c>
      <c r="E2461" s="3" t="str">
        <f>HYPERLINK("http://www.otzar.org/book.asp?155400","תורתו מגן לנו")</f>
        <v>תורתו מגן לנו</v>
      </c>
    </row>
    <row r="2462" spans="1:5" x14ac:dyDescent="0.2">
      <c r="A2462" t="s">
        <v>3788</v>
      </c>
      <c r="B2462" t="s">
        <v>3789</v>
      </c>
      <c r="C2462" t="s">
        <v>76</v>
      </c>
      <c r="E2462" s="3" t="str">
        <f>HYPERLINK("http://www.otzar.org/book.asp?614757","תורתו מגן לנו")</f>
        <v>תורתו מגן לנו</v>
      </c>
    </row>
    <row r="2463" spans="1:5" x14ac:dyDescent="0.2">
      <c r="A2463" t="s">
        <v>3790</v>
      </c>
      <c r="B2463" t="s">
        <v>108</v>
      </c>
      <c r="C2463" t="s">
        <v>119</v>
      </c>
      <c r="D2463" t="s">
        <v>8</v>
      </c>
      <c r="E2463" s="3" t="str">
        <f>HYPERLINK("http://www.otzar.org/book.asp?27460","תורתך תלמדנו")</f>
        <v>תורתך תלמדנו</v>
      </c>
    </row>
    <row r="2464" spans="1:5" x14ac:dyDescent="0.2">
      <c r="A2464" t="s">
        <v>3791</v>
      </c>
      <c r="B2464" t="s">
        <v>842</v>
      </c>
      <c r="C2464" t="s">
        <v>15</v>
      </c>
      <c r="D2464" t="s">
        <v>12</v>
      </c>
      <c r="E2464" s="3" t="str">
        <f>HYPERLINK("http://www.otzar.org/book.asp?607948","תינוק נולד - מדריך יהודי ללידת הבן והבת")</f>
        <v>תינוק נולד - מדריך יהודי ללידת הבן והבת</v>
      </c>
    </row>
    <row r="2465" spans="1:5" x14ac:dyDescent="0.2">
      <c r="A2465" t="s">
        <v>3792</v>
      </c>
      <c r="B2465" t="s">
        <v>226</v>
      </c>
      <c r="C2465" t="s">
        <v>327</v>
      </c>
      <c r="D2465" t="s">
        <v>40</v>
      </c>
      <c r="E2465" s="3" t="str">
        <f>HYPERLINK("http://www.otzar.org/book.asp?22079","תיקון ליל שבועות והושענא רבא - אוצר מנהגי חב""ד")</f>
        <v>תיקון ליל שבועות והושענא רבא - אוצר מנהגי חב"ד</v>
      </c>
    </row>
    <row r="2466" spans="1:5" x14ac:dyDescent="0.2">
      <c r="A2466" t="s">
        <v>3793</v>
      </c>
      <c r="B2466" t="s">
        <v>17</v>
      </c>
      <c r="C2466" t="s">
        <v>15</v>
      </c>
      <c r="D2466" t="s">
        <v>8</v>
      </c>
      <c r="E2466" s="3" t="str">
        <f>HYPERLINK("http://www.otzar.org/book.asp?605338","תיקוני מקוואות לפי תקנת רבותינו")</f>
        <v>תיקוני מקוואות לפי תקנת רבותינו</v>
      </c>
    </row>
    <row r="2467" spans="1:5" x14ac:dyDescent="0.2">
      <c r="A2467" t="s">
        <v>3794</v>
      </c>
      <c r="B2467" t="s">
        <v>3795</v>
      </c>
      <c r="C2467" t="s">
        <v>155</v>
      </c>
      <c r="D2467" t="s">
        <v>8</v>
      </c>
      <c r="E2467" s="3" t="str">
        <f>HYPERLINK("http://www.otzar.org/book.asp?27338","תכונות השמים")</f>
        <v>תכונות השמים</v>
      </c>
    </row>
    <row r="2468" spans="1:5" x14ac:dyDescent="0.2">
      <c r="A2468" t="s">
        <v>3796</v>
      </c>
      <c r="B2468" t="s">
        <v>3797</v>
      </c>
      <c r="C2468" t="s">
        <v>76</v>
      </c>
      <c r="D2468" t="s">
        <v>19</v>
      </c>
      <c r="E2468" s="3" t="str">
        <f>HYPERLINK("http://www.otzar.org/book.asp?141408","תכנית לימוד דברי חכמי הדורות על הגאולה")</f>
        <v>תכנית לימוד דברי חכמי הדורות על הגאולה</v>
      </c>
    </row>
    <row r="2469" spans="1:5" x14ac:dyDescent="0.2">
      <c r="A2469" t="s">
        <v>3798</v>
      </c>
      <c r="B2469" t="s">
        <v>2260</v>
      </c>
      <c r="C2469" t="s">
        <v>165</v>
      </c>
      <c r="D2469" t="s">
        <v>315</v>
      </c>
      <c r="E2469" s="3" t="str">
        <f>HYPERLINK("http://www.otzar.org/book.asp?146253","תלת הלכתא רבתא בהלכות עירובין")</f>
        <v>תלת הלכתא רבתא בהלכות עירובין</v>
      </c>
    </row>
    <row r="2470" spans="1:5" x14ac:dyDescent="0.2">
      <c r="A2470" t="s">
        <v>3799</v>
      </c>
      <c r="B2470" t="s">
        <v>108</v>
      </c>
      <c r="C2470" t="s">
        <v>86</v>
      </c>
      <c r="D2470" t="s">
        <v>8</v>
      </c>
      <c r="E2470" s="3" t="str">
        <f>HYPERLINK("http://www.otzar.org/book.asp?143292","תמים בחוקיך")</f>
        <v>תמים בחוקיך</v>
      </c>
    </row>
    <row r="2471" spans="1:5" x14ac:dyDescent="0.2">
      <c r="A2471" t="s">
        <v>3800</v>
      </c>
      <c r="B2471" t="s">
        <v>3801</v>
      </c>
      <c r="C2471" t="s">
        <v>82</v>
      </c>
      <c r="D2471" t="s">
        <v>19</v>
      </c>
      <c r="E2471" s="3" t="str">
        <f>HYPERLINK("http://www.otzar.org/book.asp?607742","תמים תהיה")</f>
        <v>תמים תהיה</v>
      </c>
    </row>
    <row r="2472" spans="1:5" x14ac:dyDescent="0.2">
      <c r="A2472" t="s">
        <v>3802</v>
      </c>
      <c r="B2472" t="s">
        <v>3803</v>
      </c>
      <c r="C2472" t="s">
        <v>796</v>
      </c>
      <c r="D2472" t="s">
        <v>3804</v>
      </c>
      <c r="E2472" s="3" t="str">
        <f>HYPERLINK("http://www.otzar.org/book.asp?613899","תן לחכם")</f>
        <v>תן לחכם</v>
      </c>
    </row>
    <row r="2473" spans="1:5" x14ac:dyDescent="0.2">
      <c r="A2473" t="s">
        <v>3802</v>
      </c>
      <c r="B2473" t="s">
        <v>108</v>
      </c>
      <c r="C2473" t="s">
        <v>301</v>
      </c>
      <c r="D2473" t="s">
        <v>3804</v>
      </c>
      <c r="E2473" s="3" t="str">
        <f>HYPERLINK("http://www.otzar.org/book.asp?27524","תן לחכם")</f>
        <v>תן לחכם</v>
      </c>
    </row>
    <row r="2474" spans="1:5" x14ac:dyDescent="0.2">
      <c r="A2474" t="s">
        <v>3805</v>
      </c>
      <c r="B2474" t="s">
        <v>17</v>
      </c>
      <c r="C2474" t="s">
        <v>11</v>
      </c>
      <c r="D2474" t="s">
        <v>8</v>
      </c>
      <c r="E2474" s="3" t="str">
        <f>HYPERLINK("http://www.otzar.org/book.asp?171725","תנאים ווארט אירוסין ונישואין")</f>
        <v>תנאים ווארט אירוסין ונישואין</v>
      </c>
    </row>
    <row r="2475" spans="1:5" x14ac:dyDescent="0.2">
      <c r="A2475" t="s">
        <v>3806</v>
      </c>
      <c r="B2475" t="s">
        <v>3807</v>
      </c>
      <c r="C2475" t="s">
        <v>350</v>
      </c>
      <c r="D2475" t="s">
        <v>19</v>
      </c>
      <c r="E2475" s="3" t="str">
        <f>HYPERLINK("http://www.otzar.org/book.asp?607692","תניא בעל פה")</f>
        <v>תניא בעל פה</v>
      </c>
    </row>
    <row r="2476" spans="1:5" x14ac:dyDescent="0.2">
      <c r="A2476" t="s">
        <v>3808</v>
      </c>
      <c r="B2476" t="s">
        <v>3809</v>
      </c>
      <c r="C2476" t="s">
        <v>82</v>
      </c>
      <c r="D2476" t="s">
        <v>80</v>
      </c>
      <c r="E2476" s="3" t="str">
        <f>HYPERLINK("http://www.otzar.org/book.asp?607686","תניא לאנשים כמוך וכמוני")</f>
        <v>תניא לאנשים כמוך וכמוני</v>
      </c>
    </row>
    <row r="2477" spans="1:5" x14ac:dyDescent="0.2">
      <c r="A2477" t="s">
        <v>3810</v>
      </c>
      <c r="B2477" t="s">
        <v>24</v>
      </c>
      <c r="C2477" t="s">
        <v>11</v>
      </c>
      <c r="D2477" t="s">
        <v>8</v>
      </c>
      <c r="E2477" s="3" t="str">
        <f>HYPERLINK("http://www.otzar.org/book.asp?164328","תניא עם תרגום לגרוזינית")</f>
        <v>תניא עם תרגום לגרוזינית</v>
      </c>
    </row>
    <row r="2478" spans="1:5" x14ac:dyDescent="0.2">
      <c r="A2478" t="s">
        <v>3811</v>
      </c>
      <c r="B2478" t="s">
        <v>3812</v>
      </c>
      <c r="C2478" t="s">
        <v>44</v>
      </c>
      <c r="D2478" t="s">
        <v>12</v>
      </c>
      <c r="E2478" s="3" t="str">
        <f>HYPERLINK("http://www.otzar.org/book.asp?173573","תספורת והכנסה לחדר")</f>
        <v>תספורת והכנסה לחדר</v>
      </c>
    </row>
    <row r="2479" spans="1:5" x14ac:dyDescent="0.2">
      <c r="A2479" t="s">
        <v>3813</v>
      </c>
      <c r="B2479" t="s">
        <v>1271</v>
      </c>
      <c r="C2479" t="s">
        <v>44</v>
      </c>
      <c r="D2479" t="s">
        <v>8</v>
      </c>
      <c r="E2479" s="3" t="str">
        <f>HYPERLINK("http://www.otzar.org/book.asp?193145","תספורת ראשונה")</f>
        <v>תספורת ראשונה</v>
      </c>
    </row>
    <row r="2480" spans="1:5" x14ac:dyDescent="0.2">
      <c r="A2480" t="s">
        <v>3814</v>
      </c>
      <c r="B2480" t="s">
        <v>3815</v>
      </c>
      <c r="C2480" t="s">
        <v>213</v>
      </c>
      <c r="D2480" t="s">
        <v>19</v>
      </c>
      <c r="E2480" s="3" t="str">
        <f>HYPERLINK("http://www.otzar.org/book.asp?140938","תערוכת חב""ד-ליובאוויטש")</f>
        <v>תערוכת חב"ד-ליובאוויטש</v>
      </c>
    </row>
    <row r="2481" spans="1:5" x14ac:dyDescent="0.2">
      <c r="A2481" t="s">
        <v>3816</v>
      </c>
      <c r="B2481" t="s">
        <v>3307</v>
      </c>
      <c r="C2481" t="s">
        <v>152</v>
      </c>
      <c r="D2481" t="s">
        <v>8</v>
      </c>
      <c r="E2481" s="3" t="str">
        <f>HYPERLINK("http://www.otzar.org/book.asp?140866","תערוכת ספריית ליובאוויטש")</f>
        <v>תערוכת ספריית ליובאוויטש</v>
      </c>
    </row>
    <row r="2482" spans="1:5" x14ac:dyDescent="0.2">
      <c r="A2482" t="s">
        <v>3817</v>
      </c>
      <c r="B2482" t="s">
        <v>753</v>
      </c>
      <c r="C2482" t="s">
        <v>276</v>
      </c>
      <c r="D2482" t="s">
        <v>8</v>
      </c>
      <c r="E2482" s="3" t="str">
        <f>HYPERLINK("http://www.otzar.org/book.asp?27571","תערוכת רבינו הזקן")</f>
        <v>תערוכת רבינו הזקן</v>
      </c>
    </row>
    <row r="2483" spans="1:5" x14ac:dyDescent="0.2">
      <c r="A2483" t="s">
        <v>3818</v>
      </c>
      <c r="B2483" t="s">
        <v>108</v>
      </c>
      <c r="C2483" t="s">
        <v>213</v>
      </c>
      <c r="D2483" t="s">
        <v>8</v>
      </c>
      <c r="E2483" s="3" t="str">
        <f>HYPERLINK("http://www.otzar.org/book.asp?140826","תפארת במקדשו")</f>
        <v>תפארת במקדשו</v>
      </c>
    </row>
    <row r="2484" spans="1:5" x14ac:dyDescent="0.2">
      <c r="A2484" t="s">
        <v>3819</v>
      </c>
      <c r="B2484" t="s">
        <v>33</v>
      </c>
      <c r="C2484" t="s">
        <v>148</v>
      </c>
      <c r="D2484" t="s">
        <v>166</v>
      </c>
      <c r="E2484" s="3" t="str">
        <f>HYPERLINK("http://www.otzar.org/book.asp?29243","תפארת בנים אבותם")</f>
        <v>תפארת בנים אבותם</v>
      </c>
    </row>
    <row r="2485" spans="1:5" x14ac:dyDescent="0.2">
      <c r="A2485" t="s">
        <v>3820</v>
      </c>
      <c r="B2485" t="s">
        <v>303</v>
      </c>
      <c r="C2485" t="s">
        <v>18</v>
      </c>
      <c r="D2485" t="s">
        <v>12</v>
      </c>
      <c r="E2485" s="3" t="str">
        <f>HYPERLINK("http://www.otzar.org/book.asp?26932","תפארת השליחות")</f>
        <v>תפארת השליחות</v>
      </c>
    </row>
    <row r="2486" spans="1:5" x14ac:dyDescent="0.2">
      <c r="A2486" t="s">
        <v>3821</v>
      </c>
      <c r="B2486" t="s">
        <v>3011</v>
      </c>
      <c r="C2486" t="s">
        <v>76</v>
      </c>
      <c r="D2486" t="s">
        <v>19</v>
      </c>
      <c r="E2486" s="3" t="str">
        <f>HYPERLINK("http://www.otzar.org/book.asp?629550","תפארת יגאל")</f>
        <v>תפארת יגאל</v>
      </c>
    </row>
    <row r="2487" spans="1:5" x14ac:dyDescent="0.2">
      <c r="A2487" t="s">
        <v>3822</v>
      </c>
      <c r="B2487" t="s">
        <v>230</v>
      </c>
      <c r="C2487" t="s">
        <v>183</v>
      </c>
      <c r="D2487" t="s">
        <v>8</v>
      </c>
      <c r="E2487" s="3" t="str">
        <f>HYPERLINK("http://www.otzar.org/book.asp?26473","תפארת יהודה קלמן - 2 כר'")</f>
        <v>תפארת יהודה קלמן - 2 כר'</v>
      </c>
    </row>
    <row r="2488" spans="1:5" x14ac:dyDescent="0.2">
      <c r="A2488" t="s">
        <v>3823</v>
      </c>
      <c r="B2488" t="s">
        <v>3824</v>
      </c>
      <c r="C2488" t="s">
        <v>73</v>
      </c>
      <c r="D2488" t="s">
        <v>8</v>
      </c>
      <c r="E2488" s="3" t="str">
        <f>HYPERLINK("http://www.otzar.org/book.asp?189081","תפארת יעקב - תולדות רבי יעקב הלוי פרידמאן")</f>
        <v>תפארת יעקב - תולדות רבי יעקב הלוי פרידמאן</v>
      </c>
    </row>
    <row r="2489" spans="1:5" x14ac:dyDescent="0.2">
      <c r="A2489" t="s">
        <v>3825</v>
      </c>
      <c r="B2489" t="s">
        <v>108</v>
      </c>
      <c r="C2489" t="s">
        <v>119</v>
      </c>
      <c r="D2489" t="s">
        <v>12</v>
      </c>
      <c r="E2489" s="3" t="str">
        <f>HYPERLINK("http://www.otzar.org/book.asp?27352","תפארת מלך - א")</f>
        <v>תפארת מלך - א</v>
      </c>
    </row>
    <row r="2490" spans="1:5" x14ac:dyDescent="0.2">
      <c r="A2490" t="s">
        <v>3826</v>
      </c>
      <c r="B2490" t="s">
        <v>3677</v>
      </c>
      <c r="C2490" t="s">
        <v>76</v>
      </c>
      <c r="D2490" t="s">
        <v>116</v>
      </c>
      <c r="E2490" s="3" t="str">
        <f>HYPERLINK("http://www.otzar.org/book.asp?614919","תפארת מנחם - ב")</f>
        <v>תפארת מנחם - ב</v>
      </c>
    </row>
    <row r="2491" spans="1:5" x14ac:dyDescent="0.2">
      <c r="A2491" t="s">
        <v>3827</v>
      </c>
      <c r="B2491" t="s">
        <v>3828</v>
      </c>
      <c r="C2491" t="s">
        <v>11</v>
      </c>
      <c r="D2491" t="s">
        <v>40</v>
      </c>
      <c r="E2491" s="3" t="str">
        <f>HYPERLINK("http://www.otzar.org/book.asp?167772","תפארת עזריאל")</f>
        <v>תפארת עזריאל</v>
      </c>
    </row>
    <row r="2492" spans="1:5" x14ac:dyDescent="0.2">
      <c r="A2492" t="s">
        <v>3829</v>
      </c>
      <c r="B2492" t="s">
        <v>3830</v>
      </c>
      <c r="C2492" t="s">
        <v>82</v>
      </c>
      <c r="D2492" t="s">
        <v>19</v>
      </c>
      <c r="E2492" s="3" t="str">
        <f>HYPERLINK("http://www.otzar.org/book.asp?607893","תפארת שניאור זלמן")</f>
        <v>תפארת שניאור זלמן</v>
      </c>
    </row>
    <row r="2493" spans="1:5" x14ac:dyDescent="0.2">
      <c r="A2493" t="s">
        <v>3831</v>
      </c>
      <c r="B2493" t="s">
        <v>1016</v>
      </c>
      <c r="C2493" t="s">
        <v>34</v>
      </c>
      <c r="D2493" t="s">
        <v>12</v>
      </c>
      <c r="E2493" s="3" t="str">
        <f>HYPERLINK("http://www.otzar.org/book.asp?157275","תפילה לאני")</f>
        <v>תפילה לאני</v>
      </c>
    </row>
    <row r="2494" spans="1:5" x14ac:dyDescent="0.2">
      <c r="A2494" t="s">
        <v>3832</v>
      </c>
      <c r="B2494" t="s">
        <v>3833</v>
      </c>
      <c r="C2494" t="s">
        <v>183</v>
      </c>
      <c r="D2494" t="s">
        <v>8</v>
      </c>
      <c r="E2494" s="3" t="str">
        <f>HYPERLINK("http://www.otzar.org/book.asp?27627","תפילות ובקשות על קברי צדיקים")</f>
        <v>תפילות ובקשות על קברי צדיקים</v>
      </c>
    </row>
    <row r="2495" spans="1:5" x14ac:dyDescent="0.2">
      <c r="A2495" t="s">
        <v>3834</v>
      </c>
      <c r="B2495" t="s">
        <v>3835</v>
      </c>
      <c r="C2495" t="s">
        <v>76</v>
      </c>
      <c r="D2495" t="s">
        <v>80</v>
      </c>
      <c r="E2495" s="3" t="str">
        <f>HYPERLINK("http://www.otzar.org/book.asp?195731","תפילות כל נדרי ונעילה - עדות המזרח")</f>
        <v>תפילות כל נדרי ונעילה - עדות המזרח</v>
      </c>
    </row>
    <row r="2496" spans="1:5" x14ac:dyDescent="0.2">
      <c r="A2496" t="s">
        <v>3836</v>
      </c>
      <c r="B2496" t="s">
        <v>1041</v>
      </c>
      <c r="C2496" t="s">
        <v>67</v>
      </c>
      <c r="D2496" t="s">
        <v>19</v>
      </c>
      <c r="E2496" s="3" t="str">
        <f>HYPERLINK("http://www.otzar.org/book.asp?27415","תפילין דמארי עלמא")</f>
        <v>תפילין דמארי עלמא</v>
      </c>
    </row>
    <row r="2497" spans="1:5" x14ac:dyDescent="0.2">
      <c r="A2497" t="s">
        <v>3837</v>
      </c>
      <c r="B2497" t="s">
        <v>2025</v>
      </c>
      <c r="C2497" t="s">
        <v>1019</v>
      </c>
      <c r="D2497" t="s">
        <v>12</v>
      </c>
      <c r="E2497" s="3" t="str">
        <f>HYPERLINK("http://www.otzar.org/book.asp?141415","תפילין")</f>
        <v>תפילין</v>
      </c>
    </row>
    <row r="2498" spans="1:5" x14ac:dyDescent="0.2">
      <c r="A2498" t="s">
        <v>3837</v>
      </c>
      <c r="B2498" t="s">
        <v>3838</v>
      </c>
      <c r="C2498" t="s">
        <v>76</v>
      </c>
      <c r="D2498" t="s">
        <v>71</v>
      </c>
      <c r="E2498" s="3" t="str">
        <f>HYPERLINK("http://www.otzar.org/book.asp?146545","תפילין")</f>
        <v>תפילין</v>
      </c>
    </row>
    <row r="2499" spans="1:5" x14ac:dyDescent="0.2">
      <c r="A2499" t="s">
        <v>3839</v>
      </c>
      <c r="B2499" t="s">
        <v>3840</v>
      </c>
      <c r="C2499" t="s">
        <v>47</v>
      </c>
      <c r="D2499" t="s">
        <v>8</v>
      </c>
      <c r="E2499" s="3" t="str">
        <f>HYPERLINK("http://www.otzar.org/book.asp?140810","תקופת לימוד הרמב""ם")</f>
        <v>תקופת לימוד הרמב"ם</v>
      </c>
    </row>
    <row r="2500" spans="1:5" x14ac:dyDescent="0.2">
      <c r="A2500" t="s">
        <v>3841</v>
      </c>
      <c r="B2500" t="s">
        <v>3842</v>
      </c>
      <c r="C2500" t="s">
        <v>76</v>
      </c>
      <c r="D2500" t="s">
        <v>19</v>
      </c>
      <c r="E2500" s="3" t="str">
        <f>HYPERLINK("http://www.otzar.org/book.asp?140967","תקנון הלכתי לבתי חב""ד")</f>
        <v>תקנון הלכתי לבתי חב"ד</v>
      </c>
    </row>
    <row r="2501" spans="1:5" x14ac:dyDescent="0.2">
      <c r="A2501" t="s">
        <v>3843</v>
      </c>
      <c r="B2501" t="s">
        <v>30</v>
      </c>
      <c r="C2501" t="s">
        <v>54</v>
      </c>
      <c r="D2501" t="s">
        <v>12</v>
      </c>
      <c r="E2501" s="3" t="str">
        <f>HYPERLINK("http://www.otzar.org/book.asp?169953","תקנות הרבי")</f>
        <v>תקנות הרבי</v>
      </c>
    </row>
    <row r="2502" spans="1:5" x14ac:dyDescent="0.2">
      <c r="A2502" t="s">
        <v>3844</v>
      </c>
      <c r="B2502" t="s">
        <v>647</v>
      </c>
      <c r="C2502" t="s">
        <v>152</v>
      </c>
      <c r="D2502" t="s">
        <v>12</v>
      </c>
      <c r="E2502" s="3" t="str">
        <f>HYPERLINK("http://www.otzar.org/book.asp?143361","תקע בשופר גדול")</f>
        <v>תקע בשופר גדול</v>
      </c>
    </row>
    <row r="2503" spans="1:5" x14ac:dyDescent="0.2">
      <c r="A2503" t="s">
        <v>3845</v>
      </c>
      <c r="B2503" t="s">
        <v>3846</v>
      </c>
      <c r="C2503" t="s">
        <v>161</v>
      </c>
      <c r="D2503" t="s">
        <v>12</v>
      </c>
      <c r="E2503" s="3" t="str">
        <f>HYPERLINK("http://www.otzar.org/book.asp?145927","תרי""ג מצות")</f>
        <v>תרי"ג מצות</v>
      </c>
    </row>
    <row r="2504" spans="1:5" x14ac:dyDescent="0.2">
      <c r="A2504" t="s">
        <v>3847</v>
      </c>
      <c r="B2504" t="s">
        <v>479</v>
      </c>
      <c r="C2504" t="s">
        <v>76</v>
      </c>
      <c r="D2504" t="s">
        <v>12</v>
      </c>
      <c r="E2504" s="3" t="str">
        <f>HYPERLINK("http://www.otzar.org/book.asp?27863","תשובה בחג הגאולה")</f>
        <v>תשובה בחג הגאולה</v>
      </c>
    </row>
    <row r="2505" spans="1:5" x14ac:dyDescent="0.2">
      <c r="A2505" t="s">
        <v>3848</v>
      </c>
      <c r="B2505" t="s">
        <v>30</v>
      </c>
      <c r="C2505" t="s">
        <v>1019</v>
      </c>
      <c r="D2505" t="s">
        <v>8</v>
      </c>
      <c r="E2505" s="3" t="str">
        <f>HYPERLINK("http://www.otzar.org/book.asp?145860","תשובות וביאורים")</f>
        <v>תשובות וביאורים</v>
      </c>
    </row>
    <row r="2506" spans="1:5" x14ac:dyDescent="0.2">
      <c r="A2506" t="s">
        <v>3849</v>
      </c>
      <c r="B2506" t="s">
        <v>33</v>
      </c>
      <c r="C2506" t="s">
        <v>142</v>
      </c>
      <c r="D2506" t="s">
        <v>1150</v>
      </c>
      <c r="E2506" s="3" t="str">
        <f>HYPERLINK("http://www.otzar.org/book.asp?610039","תשורה מהפאנל - ליקוטי שיחות")</f>
        <v>תשורה מהפאנל - ליקוטי שיחות</v>
      </c>
    </row>
    <row r="2507" spans="1:5" x14ac:dyDescent="0.2">
      <c r="A2507" t="s">
        <v>3850</v>
      </c>
      <c r="E2507" s="3" t="str">
        <f>HYPERLINK("http://www.otzar.org/book.asp?616610","תשורה - תשע""ב - (הולצמן)")</f>
        <v>תשורה - תשע"ב - (הולצמן)</v>
      </c>
    </row>
    <row r="2508" spans="1:5" x14ac:dyDescent="0.2">
      <c r="A2508" t="s">
        <v>3851</v>
      </c>
      <c r="B2508" t="s">
        <v>3852</v>
      </c>
      <c r="C2508" t="s">
        <v>73</v>
      </c>
      <c r="D2508" t="s">
        <v>1179</v>
      </c>
      <c r="E2508" s="3" t="str">
        <f>HYPERLINK("http://www.otzar.org/book.asp?607658","תשורה - תשע""ד (כ""ץ) מאמר ואתה תצוה")</f>
        <v>תשורה - תשע"ד (כ"ץ) מאמר ואתה תצוה</v>
      </c>
    </row>
    <row r="2509" spans="1:5" x14ac:dyDescent="0.2">
      <c r="A2509" t="s">
        <v>3853</v>
      </c>
      <c r="B2509" t="s">
        <v>2187</v>
      </c>
      <c r="C2509" t="s">
        <v>73</v>
      </c>
      <c r="D2509" t="s">
        <v>166</v>
      </c>
      <c r="E2509" s="3" t="str">
        <f>HYPERLINK("http://www.otzar.org/book.asp?607690","תשורה - תשע""ה (לרנר) מקוה ע""ג האוצר")</f>
        <v>תשורה - תשע"ה (לרנר) מקוה ע"ג האוצר</v>
      </c>
    </row>
    <row r="2510" spans="1:5" x14ac:dyDescent="0.2">
      <c r="A2510" t="s">
        <v>3854</v>
      </c>
      <c r="B2510" t="s">
        <v>33</v>
      </c>
      <c r="C2510" t="s">
        <v>76</v>
      </c>
      <c r="D2510" t="s">
        <v>19</v>
      </c>
      <c r="E2510" s="3" t="str">
        <f>HYPERLINK("http://www.otzar.org/book.asp?618916","תשורה - 825 כר'")</f>
        <v>תשורה - 825 כר'</v>
      </c>
    </row>
    <row r="2511" spans="1:5" x14ac:dyDescent="0.2">
      <c r="A2511" t="s">
        <v>3855</v>
      </c>
      <c r="B2511" t="s">
        <v>3856</v>
      </c>
      <c r="C2511" t="s">
        <v>39</v>
      </c>
      <c r="D2511" t="s">
        <v>332</v>
      </c>
      <c r="E2511" s="3" t="str">
        <f>HYPERLINK("http://www.otzar.org/book.asp?141540","תשורה - תשס""ז (סגל) ספר הצאצאים")</f>
        <v>תשורה - תשס"ז (סגל) ספר הצאצאים</v>
      </c>
    </row>
    <row r="2512" spans="1:5" x14ac:dyDescent="0.2">
      <c r="A2512" t="s">
        <v>3857</v>
      </c>
      <c r="B2512" t="s">
        <v>514</v>
      </c>
      <c r="C2512" t="s">
        <v>34</v>
      </c>
      <c r="D2512" t="s">
        <v>8</v>
      </c>
      <c r="E2512" s="3" t="str">
        <f>HYPERLINK("http://www.otzar.org/book.asp?614947","תשרי בליובאוויטש")</f>
        <v>תשרי בליובאוויטש</v>
      </c>
    </row>
    <row r="2513" spans="1:5" x14ac:dyDescent="0.2">
      <c r="A2513" t="s">
        <v>3858</v>
      </c>
      <c r="B2513" t="s">
        <v>105</v>
      </c>
      <c r="C2513" t="s">
        <v>76</v>
      </c>
      <c r="D2513" t="s">
        <v>19</v>
      </c>
      <c r="E2513" s="3" t="str">
        <f>HYPERLINK("http://www.otzar.org/book.asp?146529","תשרי של נפלאות גדולות")</f>
        <v>תשרי של נפלאות גדולות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OTZARHLIST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erez</cp:lastModifiedBy>
  <dcterms:created xsi:type="dcterms:W3CDTF">2020-05-31T06:05:37Z</dcterms:created>
  <dcterms:modified xsi:type="dcterms:W3CDTF">2020-05-31T06:05:37Z</dcterms:modified>
</cp:coreProperties>
</file>